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ah.alfawaris.WPSUK\Desktop\"/>
    </mc:Choice>
  </mc:AlternateContent>
  <xr:revisionPtr revIDLastSave="0" documentId="13_ncr:1_{8BB6AE89-F542-4FF2-9639-B3310FEC7925}" xr6:coauthVersionLast="43" xr6:coauthVersionMax="43" xr10:uidLastSave="{00000000-0000-0000-0000-000000000000}"/>
  <bookViews>
    <workbookView xWindow="-110" yWindow="-110" windowWidth="19420" windowHeight="10420" tabRatio="784" firstSheet="10" activeTab="10" xr2:uid="{00000000-000D-0000-FFFF-FFFF00000000}"/>
  </bookViews>
  <sheets>
    <sheet name="315kVA" sheetId="9" state="hidden" r:id="rId1"/>
    <sheet name="500kVA" sheetId="2" state="hidden" r:id="rId2"/>
    <sheet name="800kVA" sheetId="8" state="hidden" r:id="rId3"/>
    <sheet name="1000kVA" sheetId="1" state="hidden" r:id="rId4"/>
    <sheet name="1250kVA" sheetId="7" state="hidden" r:id="rId5"/>
    <sheet name="1500kVA" sheetId="11" state="hidden" r:id="rId6"/>
    <sheet name="2000kVA" sheetId="12" state="hidden" r:id="rId7"/>
    <sheet name="2500kVA" sheetId="13" state="hidden" r:id="rId8"/>
    <sheet name="Replacement TX - e2 Losses Calc" sheetId="15" r:id="rId9"/>
    <sheet name="New Build - Losses Calc e1-e2" sheetId="16" r:id="rId10"/>
    <sheet name="Replacement TX - e3 Losses Calc" sheetId="18" r:id="rId11"/>
    <sheet name="New Build - Losses Calc e1-e3" sheetId="17" r:id="rId12"/>
    <sheet name="Data" sheetId="14" r:id="rId13"/>
  </sheets>
  <definedNames>
    <definedName name="Costing">Data!$C$33:$F$44</definedName>
    <definedName name="Losses_Chart">Data!$C$3:$S$13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17" l="1"/>
  <c r="B19" i="17"/>
  <c r="E17" i="17"/>
  <c r="V21" i="14" l="1"/>
  <c r="X21" i="14"/>
  <c r="Q21" i="14"/>
  <c r="R21" i="14"/>
  <c r="S21" i="14"/>
  <c r="T21" i="14"/>
  <c r="U21" i="14"/>
  <c r="W21" i="14"/>
  <c r="F4" i="18" l="1"/>
  <c r="F4" i="17"/>
  <c r="F6" i="18" l="1"/>
  <c r="F5" i="18"/>
  <c r="C18" i="18"/>
  <c r="C19" i="18" s="1"/>
  <c r="C6" i="18"/>
  <c r="C5" i="18"/>
  <c r="F8" i="18"/>
  <c r="A3" i="18"/>
  <c r="F5" i="17"/>
  <c r="F6" i="17"/>
  <c r="C18" i="17"/>
  <c r="C19" i="17" s="1"/>
  <c r="C6" i="17"/>
  <c r="C5" i="17"/>
  <c r="C4" i="17"/>
  <c r="A13" i="18" l="1"/>
  <c r="C13" i="18" s="1"/>
  <c r="B13" i="18"/>
  <c r="D13" i="18" s="1"/>
  <c r="B16" i="18"/>
  <c r="C20" i="18"/>
  <c r="F8" i="17"/>
  <c r="B13" i="17"/>
  <c r="D13" i="17" s="1"/>
  <c r="A13" i="17"/>
  <c r="C13" i="17" s="1"/>
  <c r="C20" i="17"/>
  <c r="E13" i="17" l="1"/>
  <c r="D17" i="17" s="1"/>
  <c r="E13" i="18"/>
  <c r="C21" i="18"/>
  <c r="D19" i="17"/>
  <c r="C21" i="17"/>
  <c r="C4" i="16"/>
  <c r="D20" i="17" l="1"/>
  <c r="D18" i="18"/>
  <c r="D17" i="18"/>
  <c r="E17" i="18" s="1"/>
  <c r="D20" i="18"/>
  <c r="F13" i="18"/>
  <c r="D19" i="18"/>
  <c r="D21" i="18"/>
  <c r="C22" i="18"/>
  <c r="F13" i="17"/>
  <c r="D18" i="17"/>
  <c r="D21" i="17"/>
  <c r="C22" i="17"/>
  <c r="C6" i="16"/>
  <c r="C5" i="16"/>
  <c r="B17" i="18" l="1"/>
  <c r="E18" i="18" s="1"/>
  <c r="F17" i="18"/>
  <c r="D22" i="18"/>
  <c r="C23" i="18"/>
  <c r="D22" i="17"/>
  <c r="C23" i="17"/>
  <c r="B17" i="17"/>
  <c r="E18" i="17" s="1"/>
  <c r="F17" i="17"/>
  <c r="C18" i="16"/>
  <c r="C19" i="16" s="1"/>
  <c r="F6" i="16"/>
  <c r="B13" i="16" s="1"/>
  <c r="D13" i="16" s="1"/>
  <c r="F5" i="16"/>
  <c r="A13" i="16" s="1"/>
  <c r="C13" i="16" s="1"/>
  <c r="F4" i="16"/>
  <c r="B18" i="18" l="1"/>
  <c r="E19" i="18" s="1"/>
  <c r="F18" i="18"/>
  <c r="C24" i="18"/>
  <c r="D23" i="18"/>
  <c r="B18" i="17"/>
  <c r="E19" i="17" s="1"/>
  <c r="F18" i="17"/>
  <c r="D23" i="17"/>
  <c r="C24" i="17"/>
  <c r="F8" i="16"/>
  <c r="B16" i="16" s="1"/>
  <c r="E13" i="16"/>
  <c r="C20" i="16"/>
  <c r="M20" i="14"/>
  <c r="L20" i="14"/>
  <c r="M18" i="14"/>
  <c r="L18" i="14"/>
  <c r="K18" i="14"/>
  <c r="K17" i="14" s="1"/>
  <c r="K5" i="14" s="1"/>
  <c r="K20" i="14"/>
  <c r="J20" i="14"/>
  <c r="J18" i="14"/>
  <c r="I20" i="14"/>
  <c r="I18" i="14"/>
  <c r="K19" i="14" l="1"/>
  <c r="K7" i="14" s="1"/>
  <c r="L17" i="14"/>
  <c r="L5" i="14" s="1"/>
  <c r="I17" i="14"/>
  <c r="I5" i="14" s="1"/>
  <c r="F19" i="18"/>
  <c r="B19" i="18"/>
  <c r="E20" i="18" s="1"/>
  <c r="M17" i="14"/>
  <c r="M5" i="14" s="1"/>
  <c r="D24" i="18"/>
  <c r="C25" i="18"/>
  <c r="D24" i="17"/>
  <c r="C25" i="17"/>
  <c r="F19" i="17"/>
  <c r="E20" i="17"/>
  <c r="D19" i="16"/>
  <c r="F13" i="16"/>
  <c r="I19" i="14"/>
  <c r="I7" i="14" s="1"/>
  <c r="J19" i="14"/>
  <c r="J17" i="14"/>
  <c r="C21" i="16"/>
  <c r="D20" i="16"/>
  <c r="D18" i="16"/>
  <c r="D17" i="16"/>
  <c r="E17" i="16" s="1"/>
  <c r="L19" i="14"/>
  <c r="M19" i="14"/>
  <c r="K21" i="14"/>
  <c r="B20" i="18" l="1"/>
  <c r="E21" i="18" s="1"/>
  <c r="F20" i="18"/>
  <c r="L21" i="14"/>
  <c r="L7" i="14"/>
  <c r="M21" i="14"/>
  <c r="M7" i="14"/>
  <c r="C26" i="18"/>
  <c r="D25" i="18"/>
  <c r="B20" i="17"/>
  <c r="E21" i="17" s="1"/>
  <c r="F20" i="17"/>
  <c r="C26" i="17"/>
  <c r="D25" i="17"/>
  <c r="I21" i="14"/>
  <c r="I9" i="14" s="1"/>
  <c r="F17" i="16"/>
  <c r="B17" i="16"/>
  <c r="E18" i="16" s="1"/>
  <c r="D21" i="16"/>
  <c r="C22" i="16"/>
  <c r="K22" i="14"/>
  <c r="K10" i="14" s="1"/>
  <c r="K9" i="14"/>
  <c r="I22" i="14"/>
  <c r="F4" i="15"/>
  <c r="B21" i="18" l="1"/>
  <c r="E22" i="18" s="1"/>
  <c r="F21" i="18"/>
  <c r="M22" i="14"/>
  <c r="M9" i="14"/>
  <c r="L22" i="14"/>
  <c r="L9" i="14"/>
  <c r="C27" i="18"/>
  <c r="D26" i="18"/>
  <c r="D26" i="17"/>
  <c r="C27" i="17"/>
  <c r="F21" i="17"/>
  <c r="B21" i="17"/>
  <c r="E22" i="17" s="1"/>
  <c r="D22" i="16"/>
  <c r="C23" i="16"/>
  <c r="B18" i="16"/>
  <c r="E19" i="16" s="1"/>
  <c r="F18" i="16"/>
  <c r="K23" i="14"/>
  <c r="K11" i="14" s="1"/>
  <c r="I10" i="14"/>
  <c r="I23" i="14"/>
  <c r="C20" i="14"/>
  <c r="C21" i="14"/>
  <c r="C22" i="14"/>
  <c r="F8" i="15"/>
  <c r="F22" i="18" l="1"/>
  <c r="B22" i="18"/>
  <c r="E23" i="18" s="1"/>
  <c r="A3" i="17"/>
  <c r="L23" i="14"/>
  <c r="L10" i="14"/>
  <c r="M23" i="14"/>
  <c r="M10" i="14"/>
  <c r="D27" i="18"/>
  <c r="C28" i="18"/>
  <c r="F22" i="17"/>
  <c r="B22" i="17"/>
  <c r="E23" i="17" s="1"/>
  <c r="C28" i="17"/>
  <c r="D27" i="17"/>
  <c r="A3" i="16"/>
  <c r="C5" i="15"/>
  <c r="A3" i="15"/>
  <c r="C6" i="15"/>
  <c r="F19" i="16"/>
  <c r="B19" i="16"/>
  <c r="E20" i="16" s="1"/>
  <c r="C24" i="16"/>
  <c r="D23" i="16"/>
  <c r="K24" i="14"/>
  <c r="K12" i="14" s="1"/>
  <c r="I24" i="14"/>
  <c r="I11" i="14"/>
  <c r="F6" i="15"/>
  <c r="F5" i="15"/>
  <c r="C18" i="15"/>
  <c r="C19" i="15" s="1"/>
  <c r="B16" i="15"/>
  <c r="B23" i="18" l="1"/>
  <c r="E24" i="18" s="1"/>
  <c r="F23" i="18"/>
  <c r="M24" i="14"/>
  <c r="M11" i="14"/>
  <c r="L24" i="14"/>
  <c r="L11" i="14"/>
  <c r="C29" i="18"/>
  <c r="D28" i="18"/>
  <c r="C29" i="17"/>
  <c r="D28" i="17"/>
  <c r="B23" i="17"/>
  <c r="E24" i="17" s="1"/>
  <c r="F23" i="17"/>
  <c r="D24" i="16"/>
  <c r="C25" i="16"/>
  <c r="F20" i="16"/>
  <c r="B20" i="16"/>
  <c r="E21" i="16" s="1"/>
  <c r="K25" i="14"/>
  <c r="K13" i="14" s="1"/>
  <c r="I25" i="14"/>
  <c r="I13" i="14" s="1"/>
  <c r="I12" i="14"/>
  <c r="B13" i="15"/>
  <c r="D13" i="15" s="1"/>
  <c r="A13" i="15"/>
  <c r="C13" i="15" s="1"/>
  <c r="C20" i="15"/>
  <c r="B24" i="18" l="1"/>
  <c r="E25" i="18" s="1"/>
  <c r="F24" i="18"/>
  <c r="L25" i="14"/>
  <c r="L13" i="14" s="1"/>
  <c r="L12" i="14"/>
  <c r="M25" i="14"/>
  <c r="M13" i="14" s="1"/>
  <c r="M12" i="14"/>
  <c r="D29" i="18"/>
  <c r="C30" i="18"/>
  <c r="D29" i="17"/>
  <c r="C30" i="17"/>
  <c r="F24" i="17"/>
  <c r="B24" i="17"/>
  <c r="E25" i="17" s="1"/>
  <c r="B21" i="16"/>
  <c r="E22" i="16" s="1"/>
  <c r="F21" i="16"/>
  <c r="C26" i="16"/>
  <c r="D25" i="16"/>
  <c r="E13" i="15"/>
  <c r="C21" i="15"/>
  <c r="F25" i="18" l="1"/>
  <c r="B25" i="18"/>
  <c r="E26" i="18" s="1"/>
  <c r="D30" i="18"/>
  <c r="C31" i="18"/>
  <c r="F25" i="17"/>
  <c r="B25" i="17"/>
  <c r="E26" i="17" s="1"/>
  <c r="C31" i="17"/>
  <c r="D30" i="17"/>
  <c r="D18" i="15"/>
  <c r="F13" i="15"/>
  <c r="C27" i="16"/>
  <c r="D26" i="16"/>
  <c r="F22" i="16"/>
  <c r="B22" i="16"/>
  <c r="E23" i="16" s="1"/>
  <c r="D20" i="15"/>
  <c r="D19" i="15"/>
  <c r="D17" i="15"/>
  <c r="E17" i="15" s="1"/>
  <c r="C22" i="15"/>
  <c r="D21" i="15"/>
  <c r="B26" i="18" l="1"/>
  <c r="E27" i="18" s="1"/>
  <c r="F26" i="18"/>
  <c r="C32" i="18"/>
  <c r="D31" i="18"/>
  <c r="C32" i="17"/>
  <c r="D31" i="17"/>
  <c r="B26" i="17"/>
  <c r="E27" i="17" s="1"/>
  <c r="F26" i="17"/>
  <c r="B23" i="16"/>
  <c r="E24" i="16" s="1"/>
  <c r="F23" i="16"/>
  <c r="D27" i="16"/>
  <c r="C28" i="16"/>
  <c r="B17" i="15"/>
  <c r="E18" i="15" s="1"/>
  <c r="F18" i="15" s="1"/>
  <c r="F17" i="15"/>
  <c r="D22" i="15"/>
  <c r="C23" i="15"/>
  <c r="F27" i="18" l="1"/>
  <c r="B27" i="18"/>
  <c r="E28" i="18" s="1"/>
  <c r="D32" i="18"/>
  <c r="C33" i="18"/>
  <c r="D32" i="17"/>
  <c r="C33" i="17"/>
  <c r="F27" i="17"/>
  <c r="B27" i="17"/>
  <c r="E28" i="17" s="1"/>
  <c r="C29" i="16"/>
  <c r="D28" i="16"/>
  <c r="B24" i="16"/>
  <c r="E25" i="16" s="1"/>
  <c r="F24" i="16"/>
  <c r="B18" i="15"/>
  <c r="E19" i="15" s="1"/>
  <c r="B19" i="15" s="1"/>
  <c r="E20" i="15" s="1"/>
  <c r="F20" i="15" s="1"/>
  <c r="D23" i="15"/>
  <c r="C24" i="15"/>
  <c r="F28" i="18" l="1"/>
  <c r="B28" i="18"/>
  <c r="E29" i="18" s="1"/>
  <c r="C34" i="18"/>
  <c r="D33" i="18"/>
  <c r="F28" i="17"/>
  <c r="B28" i="17"/>
  <c r="E29" i="17" s="1"/>
  <c r="C34" i="17"/>
  <c r="D33" i="17"/>
  <c r="F25" i="16"/>
  <c r="B25" i="16"/>
  <c r="E26" i="16" s="1"/>
  <c r="D29" i="16"/>
  <c r="C30" i="16"/>
  <c r="B20" i="15"/>
  <c r="E21" i="15" s="1"/>
  <c r="B21" i="15" s="1"/>
  <c r="E22" i="15" s="1"/>
  <c r="F19" i="15"/>
  <c r="C25" i="15"/>
  <c r="D24" i="15"/>
  <c r="B29" i="18" l="1"/>
  <c r="E30" i="18" s="1"/>
  <c r="F29" i="18"/>
  <c r="C35" i="18"/>
  <c r="D34" i="18"/>
  <c r="D34" i="17"/>
  <c r="C35" i="17"/>
  <c r="B29" i="17"/>
  <c r="E30" i="17" s="1"/>
  <c r="F29" i="17"/>
  <c r="D30" i="16"/>
  <c r="C31" i="16"/>
  <c r="B26" i="16"/>
  <c r="E27" i="16" s="1"/>
  <c r="F26" i="16"/>
  <c r="F21" i="15"/>
  <c r="B22" i="15"/>
  <c r="E23" i="15" s="1"/>
  <c r="F22" i="15"/>
  <c r="D25" i="15"/>
  <c r="C26" i="15"/>
  <c r="B30" i="18" l="1"/>
  <c r="E31" i="18" s="1"/>
  <c r="F30" i="18"/>
  <c r="D35" i="18"/>
  <c r="C36" i="18"/>
  <c r="F30" i="17"/>
  <c r="B30" i="17"/>
  <c r="E31" i="17" s="1"/>
  <c r="C36" i="17"/>
  <c r="D35" i="17"/>
  <c r="F27" i="16"/>
  <c r="B27" i="16"/>
  <c r="E28" i="16" s="1"/>
  <c r="C32" i="16"/>
  <c r="D31" i="16"/>
  <c r="C27" i="15"/>
  <c r="D26" i="15"/>
  <c r="F23" i="15"/>
  <c r="B23" i="15"/>
  <c r="E24" i="15" s="1"/>
  <c r="B31" i="18" l="1"/>
  <c r="E32" i="18" s="1"/>
  <c r="F31" i="18"/>
  <c r="C37" i="18"/>
  <c r="D36" i="18"/>
  <c r="C37" i="17"/>
  <c r="D36" i="17"/>
  <c r="B31" i="17"/>
  <c r="E32" i="17" s="1"/>
  <c r="F31" i="17"/>
  <c r="D32" i="16"/>
  <c r="C33" i="16"/>
  <c r="F28" i="16"/>
  <c r="B28" i="16"/>
  <c r="E29" i="16" s="1"/>
  <c r="B24" i="15"/>
  <c r="E25" i="15" s="1"/>
  <c r="F24" i="15"/>
  <c r="C28" i="15"/>
  <c r="D27" i="15"/>
  <c r="B32" i="18" l="1"/>
  <c r="E33" i="18" s="1"/>
  <c r="F32" i="18"/>
  <c r="D37" i="18"/>
  <c r="C38" i="18"/>
  <c r="D37" i="17"/>
  <c r="C38" i="17"/>
  <c r="F32" i="17"/>
  <c r="B32" i="17"/>
  <c r="E33" i="17" s="1"/>
  <c r="B29" i="16"/>
  <c r="E30" i="16" s="1"/>
  <c r="F29" i="16"/>
  <c r="C34" i="16"/>
  <c r="D33" i="16"/>
  <c r="D28" i="15"/>
  <c r="C29" i="15"/>
  <c r="B25" i="15"/>
  <c r="E26" i="15" s="1"/>
  <c r="F25" i="15"/>
  <c r="F33" i="18" l="1"/>
  <c r="B33" i="18"/>
  <c r="E34" i="18" s="1"/>
  <c r="D38" i="18"/>
  <c r="C39" i="18"/>
  <c r="F33" i="17"/>
  <c r="B33" i="17"/>
  <c r="E34" i="17" s="1"/>
  <c r="C39" i="17"/>
  <c r="D38" i="17"/>
  <c r="C35" i="16"/>
  <c r="D34" i="16"/>
  <c r="F30" i="16"/>
  <c r="B30" i="16"/>
  <c r="E31" i="16" s="1"/>
  <c r="F26" i="15"/>
  <c r="B26" i="15"/>
  <c r="E27" i="15" s="1"/>
  <c r="C30" i="15"/>
  <c r="D29" i="15"/>
  <c r="F34" i="18" l="1"/>
  <c r="B34" i="18"/>
  <c r="E35" i="18" s="1"/>
  <c r="C40" i="18"/>
  <c r="D39" i="18"/>
  <c r="C40" i="17"/>
  <c r="D39" i="17"/>
  <c r="B34" i="17"/>
  <c r="E35" i="17" s="1"/>
  <c r="F34" i="17"/>
  <c r="B31" i="16"/>
  <c r="E32" i="16" s="1"/>
  <c r="F31" i="16"/>
  <c r="D35" i="16"/>
  <c r="C36" i="16"/>
  <c r="D30" i="15"/>
  <c r="C31" i="15"/>
  <c r="B27" i="15"/>
  <c r="E28" i="15" s="1"/>
  <c r="F27" i="15"/>
  <c r="F35" i="18" l="1"/>
  <c r="B35" i="18"/>
  <c r="E36" i="18" s="1"/>
  <c r="C41" i="18"/>
  <c r="D40" i="18"/>
  <c r="D40" i="17"/>
  <c r="C41" i="17"/>
  <c r="F35" i="17"/>
  <c r="B35" i="17"/>
  <c r="E36" i="17" s="1"/>
  <c r="C37" i="16"/>
  <c r="D36" i="16"/>
  <c r="B32" i="16"/>
  <c r="E33" i="16" s="1"/>
  <c r="F32" i="16"/>
  <c r="F28" i="15"/>
  <c r="B28" i="15"/>
  <c r="E29" i="15" s="1"/>
  <c r="D31" i="15"/>
  <c r="C32" i="15"/>
  <c r="F36" i="18" l="1"/>
  <c r="B36" i="18"/>
  <c r="E37" i="18" s="1"/>
  <c r="C42" i="18"/>
  <c r="D41" i="18"/>
  <c r="B36" i="17"/>
  <c r="E37" i="17" s="1"/>
  <c r="F36" i="17"/>
  <c r="C42" i="17"/>
  <c r="D41" i="17"/>
  <c r="F33" i="16"/>
  <c r="B33" i="16"/>
  <c r="E34" i="16" s="1"/>
  <c r="D37" i="16"/>
  <c r="C38" i="16"/>
  <c r="C33" i="15"/>
  <c r="D32" i="15"/>
  <c r="F29" i="15"/>
  <c r="B29" i="15"/>
  <c r="E30" i="15" s="1"/>
  <c r="B37" i="18" l="1"/>
  <c r="E38" i="18" s="1"/>
  <c r="F37" i="18"/>
  <c r="C43" i="18"/>
  <c r="D42" i="18"/>
  <c r="D42" i="17"/>
  <c r="C43" i="17"/>
  <c r="B37" i="17"/>
  <c r="E38" i="17" s="1"/>
  <c r="F37" i="17"/>
  <c r="D38" i="16"/>
  <c r="C39" i="16"/>
  <c r="B34" i="16"/>
  <c r="E35" i="16" s="1"/>
  <c r="F34" i="16"/>
  <c r="B30" i="15"/>
  <c r="E31" i="15" s="1"/>
  <c r="F30" i="15"/>
  <c r="D33" i="15"/>
  <c r="C34" i="15"/>
  <c r="F38" i="18" l="1"/>
  <c r="B38" i="18"/>
  <c r="E39" i="18" s="1"/>
  <c r="D43" i="18"/>
  <c r="C44" i="18"/>
  <c r="F38" i="17"/>
  <c r="B38" i="17"/>
  <c r="E39" i="17" s="1"/>
  <c r="D43" i="17"/>
  <c r="C44" i="17"/>
  <c r="F35" i="16"/>
  <c r="B35" i="16"/>
  <c r="E36" i="16" s="1"/>
  <c r="C40" i="16"/>
  <c r="D39" i="16"/>
  <c r="C35" i="15"/>
  <c r="D34" i="15"/>
  <c r="F31" i="15"/>
  <c r="B31" i="15"/>
  <c r="E32" i="15" s="1"/>
  <c r="B39" i="18" l="1"/>
  <c r="E40" i="18" s="1"/>
  <c r="F39" i="18"/>
  <c r="C45" i="18"/>
  <c r="D44" i="18"/>
  <c r="C45" i="17"/>
  <c r="D44" i="17"/>
  <c r="B39" i="17"/>
  <c r="E40" i="17" s="1"/>
  <c r="F39" i="17"/>
  <c r="D40" i="16"/>
  <c r="C41" i="16"/>
  <c r="F36" i="16"/>
  <c r="B36" i="16"/>
  <c r="E37" i="16" s="1"/>
  <c r="B32" i="15"/>
  <c r="E33" i="15" s="1"/>
  <c r="F32" i="15"/>
  <c r="C36" i="15"/>
  <c r="D35" i="15"/>
  <c r="B40" i="18" l="1"/>
  <c r="E41" i="18" s="1"/>
  <c r="F40" i="18"/>
  <c r="D45" i="18"/>
  <c r="C46" i="18"/>
  <c r="D46" i="18" s="1"/>
  <c r="D45" i="17"/>
  <c r="C46" i="17"/>
  <c r="D46" i="17" s="1"/>
  <c r="F40" i="17"/>
  <c r="B40" i="17"/>
  <c r="E41" i="17" s="1"/>
  <c r="B37" i="16"/>
  <c r="E38" i="16" s="1"/>
  <c r="F37" i="16"/>
  <c r="C42" i="16"/>
  <c r="D41" i="16"/>
  <c r="D36" i="15"/>
  <c r="C37" i="15"/>
  <c r="B33" i="15"/>
  <c r="E34" i="15" s="1"/>
  <c r="F33" i="15"/>
  <c r="E47" i="18" l="1"/>
  <c r="F41" i="18"/>
  <c r="B41" i="18"/>
  <c r="E42" i="18" s="1"/>
  <c r="B41" i="17"/>
  <c r="E42" i="17" s="1"/>
  <c r="F41" i="17"/>
  <c r="E47" i="17"/>
  <c r="C43" i="16"/>
  <c r="D42" i="16"/>
  <c r="F38" i="16"/>
  <c r="B38" i="16"/>
  <c r="E39" i="16" s="1"/>
  <c r="F34" i="15"/>
  <c r="B34" i="15"/>
  <c r="E35" i="15" s="1"/>
  <c r="C38" i="15"/>
  <c r="D37" i="15"/>
  <c r="B42" i="18" l="1"/>
  <c r="E43" i="18" s="1"/>
  <c r="F42" i="18"/>
  <c r="B42" i="17"/>
  <c r="E43" i="17" s="1"/>
  <c r="F42" i="17"/>
  <c r="B39" i="16"/>
  <c r="E40" i="16" s="1"/>
  <c r="F39" i="16"/>
  <c r="D43" i="16"/>
  <c r="C44" i="16"/>
  <c r="D38" i="15"/>
  <c r="C39" i="15"/>
  <c r="B35" i="15"/>
  <c r="E36" i="15" s="1"/>
  <c r="F35" i="15"/>
  <c r="B43" i="18" l="1"/>
  <c r="E44" i="18" s="1"/>
  <c r="F43" i="18"/>
  <c r="F43" i="17"/>
  <c r="B43" i="17"/>
  <c r="E44" i="17" s="1"/>
  <c r="C45" i="16"/>
  <c r="D44" i="16"/>
  <c r="B40" i="16"/>
  <c r="E41" i="16" s="1"/>
  <c r="F40" i="16"/>
  <c r="F36" i="15"/>
  <c r="B36" i="15"/>
  <c r="E37" i="15" s="1"/>
  <c r="D39" i="15"/>
  <c r="C40" i="15"/>
  <c r="F44" i="18" l="1"/>
  <c r="B44" i="18"/>
  <c r="E45" i="18" s="1"/>
  <c r="B44" i="17"/>
  <c r="E45" i="17" s="1"/>
  <c r="F44" i="17"/>
  <c r="F41" i="16"/>
  <c r="B41" i="16"/>
  <c r="E42" i="16" s="1"/>
  <c r="D45" i="16"/>
  <c r="C46" i="16"/>
  <c r="D46" i="16" s="1"/>
  <c r="C41" i="15"/>
  <c r="D40" i="15"/>
  <c r="F37" i="15"/>
  <c r="B37" i="15"/>
  <c r="E38" i="15" s="1"/>
  <c r="B45" i="18" l="1"/>
  <c r="E46" i="18" s="1"/>
  <c r="F45" i="18"/>
  <c r="F45" i="17"/>
  <c r="B45" i="17"/>
  <c r="E46" i="17" s="1"/>
  <c r="E47" i="16"/>
  <c r="B42" i="16"/>
  <c r="E43" i="16" s="1"/>
  <c r="F42" i="16"/>
  <c r="C42" i="15"/>
  <c r="D41" i="15"/>
  <c r="B38" i="15"/>
  <c r="E39" i="15" s="1"/>
  <c r="F38" i="15"/>
  <c r="F46" i="18" l="1"/>
  <c r="B46" i="18"/>
  <c r="F46" i="17"/>
  <c r="B46" i="17"/>
  <c r="F43" i="16"/>
  <c r="B43" i="16"/>
  <c r="E44" i="16" s="1"/>
  <c r="C43" i="15"/>
  <c r="D42" i="15"/>
  <c r="F39" i="15"/>
  <c r="B39" i="15"/>
  <c r="E40" i="15" s="1"/>
  <c r="F44" i="16" l="1"/>
  <c r="B44" i="16"/>
  <c r="E45" i="16" s="1"/>
  <c r="C44" i="15"/>
  <c r="D43" i="15"/>
  <c r="B40" i="15"/>
  <c r="E41" i="15" s="1"/>
  <c r="F40" i="15"/>
  <c r="B45" i="16" l="1"/>
  <c r="E46" i="16" s="1"/>
  <c r="F45" i="16"/>
  <c r="C45" i="15"/>
  <c r="D44" i="15"/>
  <c r="B41" i="15"/>
  <c r="E42" i="15" s="1"/>
  <c r="F41" i="15"/>
  <c r="F46" i="16" l="1"/>
  <c r="B46" i="16"/>
  <c r="C46" i="15"/>
  <c r="D46" i="15" s="1"/>
  <c r="D45" i="15"/>
  <c r="B42" i="15"/>
  <c r="E43" i="15" s="1"/>
  <c r="F42" i="15"/>
  <c r="E47" i="15" l="1"/>
  <c r="F43" i="15"/>
  <c r="B43" i="15"/>
  <c r="E44" i="15" s="1"/>
  <c r="C18" i="13"/>
  <c r="C19" i="13" s="1"/>
  <c r="B13" i="13"/>
  <c r="D13" i="13" s="1"/>
  <c r="A13" i="13"/>
  <c r="C13" i="13" s="1"/>
  <c r="F8" i="13"/>
  <c r="B16" i="13" s="1"/>
  <c r="F44" i="15" l="1"/>
  <c r="B44" i="15"/>
  <c r="E45" i="15" s="1"/>
  <c r="E13" i="13"/>
  <c r="D17" i="13" s="1"/>
  <c r="E17" i="13" s="1"/>
  <c r="C20" i="13"/>
  <c r="C18" i="12"/>
  <c r="C19" i="12" s="1"/>
  <c r="C20" i="12" s="1"/>
  <c r="B13" i="12"/>
  <c r="D13" i="12" s="1"/>
  <c r="A13" i="12"/>
  <c r="C13" i="12" s="1"/>
  <c r="F8" i="12"/>
  <c r="B16" i="12" s="1"/>
  <c r="C18" i="11"/>
  <c r="C19" i="11" s="1"/>
  <c r="C20" i="11" s="1"/>
  <c r="B13" i="11"/>
  <c r="D13" i="11" s="1"/>
  <c r="A13" i="11"/>
  <c r="C13" i="11" s="1"/>
  <c r="F8" i="11"/>
  <c r="B16" i="11" s="1"/>
  <c r="C18" i="9"/>
  <c r="C19" i="9" s="1"/>
  <c r="C20" i="9" s="1"/>
  <c r="C21" i="9" s="1"/>
  <c r="B13" i="9"/>
  <c r="D13" i="9" s="1"/>
  <c r="A13" i="9"/>
  <c r="C13" i="9" s="1"/>
  <c r="F8" i="9"/>
  <c r="B16" i="9" s="1"/>
  <c r="C18" i="8"/>
  <c r="C19" i="8" s="1"/>
  <c r="B13" i="8"/>
  <c r="D13" i="8" s="1"/>
  <c r="A13" i="8"/>
  <c r="C13" i="8" s="1"/>
  <c r="F8" i="8"/>
  <c r="B16" i="8" s="1"/>
  <c r="C18" i="7"/>
  <c r="C19" i="7" s="1"/>
  <c r="B13" i="7"/>
  <c r="D13" i="7" s="1"/>
  <c r="A13" i="7"/>
  <c r="C13" i="7" s="1"/>
  <c r="F8" i="7"/>
  <c r="B16" i="7" s="1"/>
  <c r="F45" i="15" l="1"/>
  <c r="B45" i="15"/>
  <c r="E46" i="15" s="1"/>
  <c r="D19" i="13"/>
  <c r="D18" i="13"/>
  <c r="F13" i="13"/>
  <c r="B17" i="13"/>
  <c r="F17" i="13"/>
  <c r="C21" i="13"/>
  <c r="D20" i="13"/>
  <c r="E13" i="11"/>
  <c r="D17" i="11" s="1"/>
  <c r="E13" i="8"/>
  <c r="D19" i="8" s="1"/>
  <c r="E13" i="7"/>
  <c r="D19" i="7" s="1"/>
  <c r="C21" i="12"/>
  <c r="E13" i="12"/>
  <c r="D18" i="12" s="1"/>
  <c r="C21" i="11"/>
  <c r="D19" i="11"/>
  <c r="C22" i="9"/>
  <c r="E13" i="9"/>
  <c r="D18" i="9" s="1"/>
  <c r="C20" i="8"/>
  <c r="C20" i="7"/>
  <c r="F46" i="15" l="1"/>
  <c r="B46" i="15"/>
  <c r="E18" i="13"/>
  <c r="F18" i="13" s="1"/>
  <c r="F13" i="11"/>
  <c r="D20" i="11"/>
  <c r="D18" i="8"/>
  <c r="D21" i="9"/>
  <c r="D21" i="13"/>
  <c r="C22" i="13"/>
  <c r="F13" i="7"/>
  <c r="D18" i="11"/>
  <c r="D20" i="12"/>
  <c r="F13" i="8"/>
  <c r="D17" i="8"/>
  <c r="D17" i="7"/>
  <c r="D18" i="7"/>
  <c r="C22" i="12"/>
  <c r="D21" i="12"/>
  <c r="F13" i="12"/>
  <c r="D17" i="12"/>
  <c r="D19" i="12"/>
  <c r="E17" i="11"/>
  <c r="C22" i="11"/>
  <c r="D21" i="11"/>
  <c r="F13" i="9"/>
  <c r="D17" i="9"/>
  <c r="D19" i="9"/>
  <c r="C23" i="9"/>
  <c r="D22" i="9"/>
  <c r="D20" i="9"/>
  <c r="C21" i="8"/>
  <c r="D20" i="8"/>
  <c r="C21" i="7"/>
  <c r="D20" i="7"/>
  <c r="C18" i="2"/>
  <c r="C19" i="2" s="1"/>
  <c r="B13" i="2"/>
  <c r="D13" i="2" s="1"/>
  <c r="A13" i="2"/>
  <c r="C13" i="2" s="1"/>
  <c r="F8" i="2"/>
  <c r="B16" i="2" s="1"/>
  <c r="B18" i="13" l="1"/>
  <c r="E19" i="13" s="1"/>
  <c r="F19" i="13" s="1"/>
  <c r="E17" i="7"/>
  <c r="B17" i="7" s="1"/>
  <c r="E18" i="7" s="1"/>
  <c r="E17" i="8"/>
  <c r="B17" i="8" s="1"/>
  <c r="E18" i="8" s="1"/>
  <c r="F18" i="8" s="1"/>
  <c r="E13" i="2"/>
  <c r="D19" i="2" s="1"/>
  <c r="C23" i="13"/>
  <c r="D22" i="13"/>
  <c r="F17" i="8"/>
  <c r="C23" i="12"/>
  <c r="D22" i="12"/>
  <c r="E17" i="12"/>
  <c r="D22" i="11"/>
  <c r="C23" i="11"/>
  <c r="B17" i="11"/>
  <c r="E18" i="11" s="1"/>
  <c r="F17" i="11"/>
  <c r="E17" i="9"/>
  <c r="C24" i="9"/>
  <c r="D23" i="9"/>
  <c r="C22" i="8"/>
  <c r="D21" i="8"/>
  <c r="D21" i="7"/>
  <c r="C22" i="7"/>
  <c r="C20" i="2"/>
  <c r="C18" i="1"/>
  <c r="C19" i="1" s="1"/>
  <c r="C20" i="1" s="1"/>
  <c r="C21" i="1" s="1"/>
  <c r="C22" i="1" s="1"/>
  <c r="C23" i="1" s="1"/>
  <c r="D17" i="2" l="1"/>
  <c r="F13" i="2"/>
  <c r="D18" i="2"/>
  <c r="B19" i="13"/>
  <c r="E20" i="13" s="1"/>
  <c r="F20" i="13" s="1"/>
  <c r="F17" i="7"/>
  <c r="B18" i="8"/>
  <c r="E19" i="8" s="1"/>
  <c r="B19" i="8" s="1"/>
  <c r="E20" i="8" s="1"/>
  <c r="D20" i="2"/>
  <c r="E17" i="2"/>
  <c r="F17" i="2" s="1"/>
  <c r="C24" i="13"/>
  <c r="D23" i="13"/>
  <c r="C24" i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D23" i="12"/>
  <c r="C24" i="12"/>
  <c r="B17" i="12"/>
  <c r="E18" i="12" s="1"/>
  <c r="F17" i="12"/>
  <c r="F18" i="11"/>
  <c r="B18" i="11"/>
  <c r="E19" i="11" s="1"/>
  <c r="D23" i="11"/>
  <c r="C24" i="11"/>
  <c r="C25" i="9"/>
  <c r="D24" i="9"/>
  <c r="F17" i="9"/>
  <c r="B17" i="9"/>
  <c r="E18" i="9" s="1"/>
  <c r="C23" i="8"/>
  <c r="D22" i="8"/>
  <c r="F19" i="8"/>
  <c r="C23" i="7"/>
  <c r="D22" i="7"/>
  <c r="F18" i="7"/>
  <c r="B18" i="7"/>
  <c r="E19" i="7" s="1"/>
  <c r="C21" i="2"/>
  <c r="F8" i="1"/>
  <c r="B16" i="1" l="1"/>
  <c r="B20" i="13"/>
  <c r="E21" i="13" s="1"/>
  <c r="B21" i="13" s="1"/>
  <c r="E22" i="13" s="1"/>
  <c r="B17" i="2"/>
  <c r="E18" i="2" s="1"/>
  <c r="F18" i="2" s="1"/>
  <c r="C25" i="13"/>
  <c r="D24" i="13"/>
  <c r="F21" i="13"/>
  <c r="B18" i="12"/>
  <c r="E19" i="12" s="1"/>
  <c r="F18" i="12"/>
  <c r="D24" i="12"/>
  <c r="C25" i="12"/>
  <c r="C25" i="11"/>
  <c r="D24" i="11"/>
  <c r="F19" i="11"/>
  <c r="B19" i="11"/>
  <c r="E20" i="11" s="1"/>
  <c r="B18" i="9"/>
  <c r="E19" i="9" s="1"/>
  <c r="F18" i="9"/>
  <c r="C26" i="9"/>
  <c r="D25" i="9"/>
  <c r="F20" i="8"/>
  <c r="B20" i="8"/>
  <c r="E21" i="8" s="1"/>
  <c r="C24" i="8"/>
  <c r="D23" i="8"/>
  <c r="B19" i="7"/>
  <c r="E20" i="7" s="1"/>
  <c r="F19" i="7"/>
  <c r="C24" i="7"/>
  <c r="D23" i="7"/>
  <c r="B18" i="2"/>
  <c r="E19" i="2" s="1"/>
  <c r="C22" i="2"/>
  <c r="D21" i="2"/>
  <c r="B13" i="1"/>
  <c r="D13" i="1" s="1"/>
  <c r="A13" i="1"/>
  <c r="C13" i="1" s="1"/>
  <c r="C26" i="13" l="1"/>
  <c r="D25" i="13"/>
  <c r="F22" i="13"/>
  <c r="B22" i="13"/>
  <c r="E23" i="13" s="1"/>
  <c r="F19" i="12"/>
  <c r="B19" i="12"/>
  <c r="E20" i="12" s="1"/>
  <c r="C26" i="12"/>
  <c r="D25" i="12"/>
  <c r="F20" i="11"/>
  <c r="B20" i="11"/>
  <c r="E21" i="11" s="1"/>
  <c r="C26" i="11"/>
  <c r="D25" i="11"/>
  <c r="F19" i="9"/>
  <c r="B19" i="9"/>
  <c r="E20" i="9" s="1"/>
  <c r="C27" i="9"/>
  <c r="D26" i="9"/>
  <c r="C25" i="8"/>
  <c r="D24" i="8"/>
  <c r="F21" i="8"/>
  <c r="B21" i="8"/>
  <c r="E22" i="8" s="1"/>
  <c r="F20" i="7"/>
  <c r="B20" i="7"/>
  <c r="E21" i="7" s="1"/>
  <c r="C25" i="7"/>
  <c r="D24" i="7"/>
  <c r="B19" i="2"/>
  <c r="E20" i="2" s="1"/>
  <c r="F19" i="2"/>
  <c r="C23" i="2"/>
  <c r="D23" i="2" s="1"/>
  <c r="D22" i="2"/>
  <c r="E13" i="1"/>
  <c r="C27" i="13" l="1"/>
  <c r="D26" i="13"/>
  <c r="B23" i="13"/>
  <c r="E24" i="13" s="1"/>
  <c r="F23" i="13"/>
  <c r="D20" i="1"/>
  <c r="D23" i="1"/>
  <c r="C27" i="12"/>
  <c r="D26" i="12"/>
  <c r="F20" i="12"/>
  <c r="B20" i="12"/>
  <c r="E21" i="12" s="1"/>
  <c r="D26" i="11"/>
  <c r="C27" i="11"/>
  <c r="F21" i="11"/>
  <c r="B21" i="11"/>
  <c r="E22" i="11" s="1"/>
  <c r="D27" i="9"/>
  <c r="C28" i="9"/>
  <c r="F20" i="9"/>
  <c r="B20" i="9"/>
  <c r="E21" i="9" s="1"/>
  <c r="F22" i="8"/>
  <c r="B22" i="8"/>
  <c r="E23" i="8" s="1"/>
  <c r="D25" i="8"/>
  <c r="C26" i="8"/>
  <c r="D25" i="7"/>
  <c r="C26" i="7"/>
  <c r="F21" i="7"/>
  <c r="B21" i="7"/>
  <c r="E22" i="7" s="1"/>
  <c r="F20" i="2"/>
  <c r="B20" i="2"/>
  <c r="E21" i="2" s="1"/>
  <c r="C24" i="2"/>
  <c r="F13" i="1"/>
  <c r="D17" i="1"/>
  <c r="D18" i="1"/>
  <c r="D19" i="1"/>
  <c r="E17" i="1" l="1"/>
  <c r="F17" i="1" s="1"/>
  <c r="F24" i="13"/>
  <c r="B24" i="13"/>
  <c r="E25" i="13" s="1"/>
  <c r="C28" i="13"/>
  <c r="D27" i="13"/>
  <c r="F21" i="12"/>
  <c r="B21" i="12"/>
  <c r="E22" i="12" s="1"/>
  <c r="C28" i="12"/>
  <c r="D27" i="12"/>
  <c r="F22" i="11"/>
  <c r="B22" i="11"/>
  <c r="E23" i="11" s="1"/>
  <c r="C28" i="11"/>
  <c r="D27" i="11"/>
  <c r="B21" i="9"/>
  <c r="E22" i="9" s="1"/>
  <c r="F21" i="9"/>
  <c r="C29" i="9"/>
  <c r="D28" i="9"/>
  <c r="C27" i="8"/>
  <c r="D26" i="8"/>
  <c r="F23" i="8"/>
  <c r="B23" i="8"/>
  <c r="E24" i="8" s="1"/>
  <c r="D26" i="7"/>
  <c r="C27" i="7"/>
  <c r="B22" i="7"/>
  <c r="E23" i="7" s="1"/>
  <c r="F22" i="7"/>
  <c r="D24" i="2"/>
  <c r="C25" i="2"/>
  <c r="F21" i="2"/>
  <c r="B21" i="2"/>
  <c r="E22" i="2" s="1"/>
  <c r="D21" i="1"/>
  <c r="C29" i="13" l="1"/>
  <c r="D28" i="13"/>
  <c r="F25" i="13"/>
  <c r="B25" i="13"/>
  <c r="E26" i="13" s="1"/>
  <c r="C29" i="12"/>
  <c r="D28" i="12"/>
  <c r="F22" i="12"/>
  <c r="B22" i="12"/>
  <c r="E23" i="12" s="1"/>
  <c r="C29" i="11"/>
  <c r="D28" i="11"/>
  <c r="F23" i="11"/>
  <c r="B23" i="11"/>
  <c r="E24" i="11" s="1"/>
  <c r="C30" i="9"/>
  <c r="D29" i="9"/>
  <c r="F22" i="9"/>
  <c r="B22" i="9"/>
  <c r="E23" i="9" s="1"/>
  <c r="F24" i="8"/>
  <c r="B24" i="8"/>
  <c r="E25" i="8" s="1"/>
  <c r="C28" i="8"/>
  <c r="D27" i="8"/>
  <c r="C28" i="7"/>
  <c r="D27" i="7"/>
  <c r="B23" i="7"/>
  <c r="E24" i="7" s="1"/>
  <c r="F23" i="7"/>
  <c r="D25" i="2"/>
  <c r="C26" i="2"/>
  <c r="F22" i="2"/>
  <c r="B22" i="2"/>
  <c r="E23" i="2" s="1"/>
  <c r="D22" i="1"/>
  <c r="D29" i="13" l="1"/>
  <c r="C30" i="13"/>
  <c r="F26" i="13"/>
  <c r="B26" i="13"/>
  <c r="E27" i="13" s="1"/>
  <c r="F23" i="12"/>
  <c r="B23" i="12"/>
  <c r="E24" i="12" s="1"/>
  <c r="C30" i="12"/>
  <c r="D29" i="12"/>
  <c r="B24" i="11"/>
  <c r="E25" i="11" s="1"/>
  <c r="F24" i="11"/>
  <c r="C30" i="11"/>
  <c r="D29" i="11"/>
  <c r="F23" i="9"/>
  <c r="B23" i="9"/>
  <c r="E24" i="9" s="1"/>
  <c r="C31" i="9"/>
  <c r="D30" i="9"/>
  <c r="C29" i="8"/>
  <c r="D28" i="8"/>
  <c r="F25" i="8"/>
  <c r="B25" i="8"/>
  <c r="E26" i="8" s="1"/>
  <c r="F24" i="7"/>
  <c r="B24" i="7"/>
  <c r="E25" i="7" s="1"/>
  <c r="C29" i="7"/>
  <c r="D28" i="7"/>
  <c r="F23" i="2"/>
  <c r="B23" i="2"/>
  <c r="E24" i="2" s="1"/>
  <c r="C27" i="2"/>
  <c r="D26" i="2"/>
  <c r="F27" i="13" l="1"/>
  <c r="B27" i="13"/>
  <c r="E28" i="13" s="1"/>
  <c r="C31" i="13"/>
  <c r="D30" i="13"/>
  <c r="C31" i="12"/>
  <c r="D30" i="12"/>
  <c r="F24" i="12"/>
  <c r="B24" i="12"/>
  <c r="E25" i="12" s="1"/>
  <c r="D30" i="11"/>
  <c r="C31" i="11"/>
  <c r="F25" i="11"/>
  <c r="B25" i="11"/>
  <c r="E26" i="11" s="1"/>
  <c r="C32" i="9"/>
  <c r="D31" i="9"/>
  <c r="F24" i="9"/>
  <c r="B24" i="9"/>
  <c r="E25" i="9" s="1"/>
  <c r="F26" i="8"/>
  <c r="B26" i="8"/>
  <c r="E27" i="8" s="1"/>
  <c r="C30" i="8"/>
  <c r="D29" i="8"/>
  <c r="D29" i="7"/>
  <c r="C30" i="7"/>
  <c r="F25" i="7"/>
  <c r="B25" i="7"/>
  <c r="E26" i="7" s="1"/>
  <c r="C28" i="2"/>
  <c r="D27" i="2"/>
  <c r="F24" i="2"/>
  <c r="B24" i="2"/>
  <c r="E25" i="2" s="1"/>
  <c r="D24" i="1"/>
  <c r="C32" i="13" l="1"/>
  <c r="D31" i="13"/>
  <c r="F28" i="13"/>
  <c r="B28" i="13"/>
  <c r="E29" i="13" s="1"/>
  <c r="F25" i="12"/>
  <c r="B25" i="12"/>
  <c r="E26" i="12" s="1"/>
  <c r="C32" i="12"/>
  <c r="D31" i="12"/>
  <c r="C32" i="11"/>
  <c r="D31" i="11"/>
  <c r="F26" i="11"/>
  <c r="B26" i="11"/>
  <c r="E27" i="11" s="1"/>
  <c r="F25" i="9"/>
  <c r="B25" i="9"/>
  <c r="E26" i="9" s="1"/>
  <c r="C33" i="9"/>
  <c r="D32" i="9"/>
  <c r="C31" i="8"/>
  <c r="D30" i="8"/>
  <c r="F27" i="8"/>
  <c r="B27" i="8"/>
  <c r="E28" i="8" s="1"/>
  <c r="B26" i="7"/>
  <c r="E27" i="7" s="1"/>
  <c r="F26" i="7"/>
  <c r="D30" i="7"/>
  <c r="C31" i="7"/>
  <c r="C29" i="2"/>
  <c r="D28" i="2"/>
  <c r="F25" i="2"/>
  <c r="B25" i="2"/>
  <c r="E26" i="2" s="1"/>
  <c r="D25" i="1"/>
  <c r="C33" i="13" l="1"/>
  <c r="D32" i="13"/>
  <c r="F29" i="13"/>
  <c r="B29" i="13"/>
  <c r="E30" i="13" s="1"/>
  <c r="C33" i="12"/>
  <c r="D32" i="12"/>
  <c r="F26" i="12"/>
  <c r="B26" i="12"/>
  <c r="E27" i="12" s="1"/>
  <c r="F27" i="11"/>
  <c r="B27" i="11"/>
  <c r="E28" i="11" s="1"/>
  <c r="C33" i="11"/>
  <c r="D32" i="11"/>
  <c r="C34" i="9"/>
  <c r="D33" i="9"/>
  <c r="F26" i="9"/>
  <c r="B26" i="9"/>
  <c r="E27" i="9" s="1"/>
  <c r="F28" i="8"/>
  <c r="B28" i="8"/>
  <c r="E29" i="8" s="1"/>
  <c r="C32" i="8"/>
  <c r="D31" i="8"/>
  <c r="C32" i="7"/>
  <c r="D31" i="7"/>
  <c r="B27" i="7"/>
  <c r="E28" i="7" s="1"/>
  <c r="F27" i="7"/>
  <c r="F26" i="2"/>
  <c r="B26" i="2"/>
  <c r="E27" i="2" s="1"/>
  <c r="C30" i="2"/>
  <c r="D29" i="2"/>
  <c r="D26" i="1"/>
  <c r="D33" i="13" l="1"/>
  <c r="C34" i="13"/>
  <c r="F30" i="13"/>
  <c r="B30" i="13"/>
  <c r="E31" i="13" s="1"/>
  <c r="F27" i="12"/>
  <c r="B27" i="12"/>
  <c r="E28" i="12" s="1"/>
  <c r="C34" i="12"/>
  <c r="D33" i="12"/>
  <c r="C34" i="11"/>
  <c r="D33" i="11"/>
  <c r="F28" i="11"/>
  <c r="B28" i="11"/>
  <c r="E29" i="11" s="1"/>
  <c r="F27" i="9"/>
  <c r="B27" i="9"/>
  <c r="E28" i="9" s="1"/>
  <c r="C35" i="9"/>
  <c r="D34" i="9"/>
  <c r="C33" i="8"/>
  <c r="D32" i="8"/>
  <c r="F29" i="8"/>
  <c r="B29" i="8"/>
  <c r="E30" i="8" s="1"/>
  <c r="B28" i="7"/>
  <c r="E29" i="7" s="1"/>
  <c r="F28" i="7"/>
  <c r="C33" i="7"/>
  <c r="D32" i="7"/>
  <c r="C31" i="2"/>
  <c r="D30" i="2"/>
  <c r="B27" i="2"/>
  <c r="E28" i="2" s="1"/>
  <c r="F27" i="2"/>
  <c r="D27" i="1"/>
  <c r="F31" i="13" l="1"/>
  <c r="B31" i="13"/>
  <c r="E32" i="13" s="1"/>
  <c r="C35" i="13"/>
  <c r="D34" i="13"/>
  <c r="C35" i="12"/>
  <c r="D34" i="12"/>
  <c r="F28" i="12"/>
  <c r="B28" i="12"/>
  <c r="E29" i="12" s="1"/>
  <c r="F29" i="11"/>
  <c r="B29" i="11"/>
  <c r="E30" i="11" s="1"/>
  <c r="D34" i="11"/>
  <c r="C35" i="11"/>
  <c r="C36" i="9"/>
  <c r="D35" i="9"/>
  <c r="F28" i="9"/>
  <c r="B28" i="9"/>
  <c r="E29" i="9" s="1"/>
  <c r="F30" i="8"/>
  <c r="B30" i="8"/>
  <c r="E31" i="8" s="1"/>
  <c r="D33" i="8"/>
  <c r="C34" i="8"/>
  <c r="C34" i="7"/>
  <c r="D33" i="7"/>
  <c r="F29" i="7"/>
  <c r="B29" i="7"/>
  <c r="E30" i="7" s="1"/>
  <c r="F28" i="2"/>
  <c r="B28" i="2"/>
  <c r="E29" i="2" s="1"/>
  <c r="C32" i="2"/>
  <c r="D31" i="2"/>
  <c r="D28" i="1"/>
  <c r="C36" i="13" l="1"/>
  <c r="D35" i="13"/>
  <c r="F32" i="13"/>
  <c r="B32" i="13"/>
  <c r="E33" i="13" s="1"/>
  <c r="F29" i="12"/>
  <c r="B29" i="12"/>
  <c r="E30" i="12" s="1"/>
  <c r="C36" i="12"/>
  <c r="D35" i="12"/>
  <c r="C36" i="11"/>
  <c r="D35" i="11"/>
  <c r="F30" i="11"/>
  <c r="B30" i="11"/>
  <c r="E31" i="11" s="1"/>
  <c r="F29" i="9"/>
  <c r="B29" i="9"/>
  <c r="E30" i="9" s="1"/>
  <c r="C37" i="9"/>
  <c r="D36" i="9"/>
  <c r="C35" i="8"/>
  <c r="D34" i="8"/>
  <c r="F31" i="8"/>
  <c r="B31" i="8"/>
  <c r="E32" i="8" s="1"/>
  <c r="F30" i="7"/>
  <c r="B30" i="7"/>
  <c r="E31" i="7" s="1"/>
  <c r="C35" i="7"/>
  <c r="D34" i="7"/>
  <c r="C33" i="2"/>
  <c r="D32" i="2"/>
  <c r="F29" i="2"/>
  <c r="B29" i="2"/>
  <c r="E30" i="2" s="1"/>
  <c r="D29" i="1"/>
  <c r="F33" i="13" l="1"/>
  <c r="B33" i="13"/>
  <c r="E34" i="13" s="1"/>
  <c r="C37" i="13"/>
  <c r="D36" i="13"/>
  <c r="C37" i="12"/>
  <c r="D36" i="12"/>
  <c r="F30" i="12"/>
  <c r="B30" i="12"/>
  <c r="E31" i="12" s="1"/>
  <c r="F31" i="11"/>
  <c r="B31" i="11"/>
  <c r="E32" i="11" s="1"/>
  <c r="C37" i="11"/>
  <c r="D36" i="11"/>
  <c r="C38" i="9"/>
  <c r="D37" i="9"/>
  <c r="F30" i="9"/>
  <c r="B30" i="9"/>
  <c r="E31" i="9" s="1"/>
  <c r="F32" i="8"/>
  <c r="B32" i="8"/>
  <c r="E33" i="8" s="1"/>
  <c r="C36" i="8"/>
  <c r="D35" i="8"/>
  <c r="C36" i="7"/>
  <c r="D35" i="7"/>
  <c r="B31" i="7"/>
  <c r="E32" i="7" s="1"/>
  <c r="F31" i="7"/>
  <c r="F30" i="2"/>
  <c r="B30" i="2"/>
  <c r="E31" i="2" s="1"/>
  <c r="C34" i="2"/>
  <c r="D33" i="2"/>
  <c r="D30" i="1"/>
  <c r="C38" i="13" l="1"/>
  <c r="D37" i="13"/>
  <c r="F34" i="13"/>
  <c r="B34" i="13"/>
  <c r="E35" i="13" s="1"/>
  <c r="F31" i="12"/>
  <c r="B31" i="12"/>
  <c r="E32" i="12" s="1"/>
  <c r="C38" i="12"/>
  <c r="D37" i="12"/>
  <c r="C38" i="11"/>
  <c r="D37" i="11"/>
  <c r="B32" i="11"/>
  <c r="E33" i="11" s="1"/>
  <c r="F32" i="11"/>
  <c r="F31" i="9"/>
  <c r="B31" i="9"/>
  <c r="E32" i="9" s="1"/>
  <c r="C39" i="9"/>
  <c r="D38" i="9"/>
  <c r="C37" i="8"/>
  <c r="D36" i="8"/>
  <c r="F33" i="8"/>
  <c r="B33" i="8"/>
  <c r="E34" i="8" s="1"/>
  <c r="F32" i="7"/>
  <c r="B32" i="7"/>
  <c r="E33" i="7" s="1"/>
  <c r="D36" i="7"/>
  <c r="C37" i="7"/>
  <c r="F31" i="2"/>
  <c r="B31" i="2"/>
  <c r="E32" i="2" s="1"/>
  <c r="C35" i="2"/>
  <c r="D34" i="2"/>
  <c r="D31" i="1"/>
  <c r="B35" i="13" l="1"/>
  <c r="E36" i="13" s="1"/>
  <c r="F35" i="13"/>
  <c r="C39" i="13"/>
  <c r="D38" i="13"/>
  <c r="C39" i="12"/>
  <c r="D38" i="12"/>
  <c r="F32" i="12"/>
  <c r="B32" i="12"/>
  <c r="E33" i="12" s="1"/>
  <c r="F33" i="11"/>
  <c r="B33" i="11"/>
  <c r="E34" i="11" s="1"/>
  <c r="D38" i="11"/>
  <c r="C39" i="11"/>
  <c r="C40" i="9"/>
  <c r="D39" i="9"/>
  <c r="F32" i="9"/>
  <c r="B32" i="9"/>
  <c r="E33" i="9" s="1"/>
  <c r="F34" i="8"/>
  <c r="B34" i="8"/>
  <c r="E35" i="8" s="1"/>
  <c r="D37" i="8"/>
  <c r="C38" i="8"/>
  <c r="C38" i="7"/>
  <c r="D37" i="7"/>
  <c r="F33" i="7"/>
  <c r="B33" i="7"/>
  <c r="E34" i="7" s="1"/>
  <c r="F32" i="2"/>
  <c r="B32" i="2"/>
  <c r="E33" i="2" s="1"/>
  <c r="C36" i="2"/>
  <c r="D35" i="2"/>
  <c r="D32" i="1"/>
  <c r="C40" i="13" l="1"/>
  <c r="D39" i="13"/>
  <c r="F36" i="13"/>
  <c r="B36" i="13"/>
  <c r="E37" i="13" s="1"/>
  <c r="F33" i="12"/>
  <c r="B33" i="12"/>
  <c r="E34" i="12" s="1"/>
  <c r="C40" i="12"/>
  <c r="D39" i="12"/>
  <c r="C40" i="11"/>
  <c r="D39" i="11"/>
  <c r="F34" i="11"/>
  <c r="B34" i="11"/>
  <c r="E35" i="11" s="1"/>
  <c r="F33" i="9"/>
  <c r="B33" i="9"/>
  <c r="E34" i="9" s="1"/>
  <c r="C41" i="9"/>
  <c r="D41" i="9" s="1"/>
  <c r="D40" i="9"/>
  <c r="C39" i="8"/>
  <c r="D38" i="8"/>
  <c r="B35" i="8"/>
  <c r="E36" i="8" s="1"/>
  <c r="F35" i="8"/>
  <c r="F34" i="7"/>
  <c r="B34" i="7"/>
  <c r="E35" i="7" s="1"/>
  <c r="C39" i="7"/>
  <c r="D38" i="7"/>
  <c r="F33" i="2"/>
  <c r="B33" i="2"/>
  <c r="E34" i="2" s="1"/>
  <c r="C37" i="2"/>
  <c r="D36" i="2"/>
  <c r="D33" i="1"/>
  <c r="E42" i="9" l="1"/>
  <c r="F37" i="13"/>
  <c r="B37" i="13"/>
  <c r="E38" i="13" s="1"/>
  <c r="C41" i="13"/>
  <c r="D41" i="13" s="1"/>
  <c r="D40" i="13"/>
  <c r="D40" i="12"/>
  <c r="C41" i="12"/>
  <c r="D41" i="12" s="1"/>
  <c r="F34" i="12"/>
  <c r="B34" i="12"/>
  <c r="E35" i="12" s="1"/>
  <c r="F35" i="11"/>
  <c r="B35" i="11"/>
  <c r="E36" i="11" s="1"/>
  <c r="C41" i="11"/>
  <c r="D41" i="11" s="1"/>
  <c r="E42" i="11" s="1"/>
  <c r="D40" i="11"/>
  <c r="F34" i="9"/>
  <c r="B34" i="9"/>
  <c r="E35" i="9" s="1"/>
  <c r="C40" i="8"/>
  <c r="D39" i="8"/>
  <c r="F36" i="8"/>
  <c r="B36" i="8"/>
  <c r="E37" i="8" s="1"/>
  <c r="C40" i="7"/>
  <c r="D39" i="7"/>
  <c r="F35" i="7"/>
  <c r="B35" i="7"/>
  <c r="E36" i="7" s="1"/>
  <c r="C38" i="2"/>
  <c r="D37" i="2"/>
  <c r="B34" i="2"/>
  <c r="E35" i="2" s="1"/>
  <c r="F34" i="2"/>
  <c r="D34" i="1"/>
  <c r="E42" i="12" l="1"/>
  <c r="E42" i="13"/>
  <c r="F38" i="13"/>
  <c r="B38" i="13"/>
  <c r="E39" i="13" s="1"/>
  <c r="F35" i="12"/>
  <c r="B35" i="12"/>
  <c r="E36" i="12" s="1"/>
  <c r="B36" i="11"/>
  <c r="E37" i="11" s="1"/>
  <c r="F36" i="11"/>
  <c r="F35" i="9"/>
  <c r="B35" i="9"/>
  <c r="E36" i="9" s="1"/>
  <c r="F37" i="8"/>
  <c r="B37" i="8"/>
  <c r="E38" i="8" s="1"/>
  <c r="C41" i="8"/>
  <c r="D41" i="8" s="1"/>
  <c r="E42" i="8" s="1"/>
  <c r="D40" i="8"/>
  <c r="B36" i="7"/>
  <c r="E37" i="7" s="1"/>
  <c r="F36" i="7"/>
  <c r="C41" i="7"/>
  <c r="D41" i="7" s="1"/>
  <c r="D40" i="7"/>
  <c r="F35" i="2"/>
  <c r="B35" i="2"/>
  <c r="E36" i="2" s="1"/>
  <c r="C39" i="2"/>
  <c r="D38" i="2"/>
  <c r="D35" i="1"/>
  <c r="E42" i="7" l="1"/>
  <c r="F39" i="13"/>
  <c r="B39" i="13"/>
  <c r="E40" i="13" s="1"/>
  <c r="F36" i="12"/>
  <c r="B36" i="12"/>
  <c r="E37" i="12" s="1"/>
  <c r="F37" i="11"/>
  <c r="B37" i="11"/>
  <c r="E38" i="11" s="1"/>
  <c r="F36" i="9"/>
  <c r="B36" i="9"/>
  <c r="E37" i="9" s="1"/>
  <c r="F38" i="8"/>
  <c r="B38" i="8"/>
  <c r="E39" i="8" s="1"/>
  <c r="F37" i="7"/>
  <c r="B37" i="7"/>
  <c r="E38" i="7" s="1"/>
  <c r="C40" i="2"/>
  <c r="D39" i="2"/>
  <c r="F36" i="2"/>
  <c r="B36" i="2"/>
  <c r="E37" i="2" s="1"/>
  <c r="D36" i="1"/>
  <c r="F40" i="13" l="1"/>
  <c r="B40" i="13"/>
  <c r="E41" i="13" s="1"/>
  <c r="F37" i="12"/>
  <c r="B37" i="12"/>
  <c r="E38" i="12" s="1"/>
  <c r="F38" i="11"/>
  <c r="B38" i="11"/>
  <c r="E39" i="11" s="1"/>
  <c r="B37" i="9"/>
  <c r="E38" i="9" s="1"/>
  <c r="F37" i="9"/>
  <c r="B39" i="8"/>
  <c r="E40" i="8" s="1"/>
  <c r="F39" i="8"/>
  <c r="F38" i="7"/>
  <c r="B38" i="7"/>
  <c r="E39" i="7" s="1"/>
  <c r="F37" i="2"/>
  <c r="B37" i="2"/>
  <c r="E38" i="2" s="1"/>
  <c r="D40" i="2"/>
  <c r="C41" i="2"/>
  <c r="D41" i="2" s="1"/>
  <c r="D37" i="1"/>
  <c r="E42" i="2" l="1"/>
  <c r="F41" i="13"/>
  <c r="B41" i="13"/>
  <c r="F38" i="12"/>
  <c r="B38" i="12"/>
  <c r="E39" i="12" s="1"/>
  <c r="F39" i="11"/>
  <c r="B39" i="11"/>
  <c r="E40" i="11" s="1"/>
  <c r="F38" i="9"/>
  <c r="B38" i="9"/>
  <c r="E39" i="9" s="1"/>
  <c r="F40" i="8"/>
  <c r="B40" i="8"/>
  <c r="E41" i="8" s="1"/>
  <c r="F39" i="7"/>
  <c r="B39" i="7"/>
  <c r="E40" i="7" s="1"/>
  <c r="F38" i="2"/>
  <c r="B38" i="2"/>
  <c r="E39" i="2" s="1"/>
  <c r="D38" i="1"/>
  <c r="F39" i="12" l="1"/>
  <c r="B39" i="12"/>
  <c r="E40" i="12" s="1"/>
  <c r="F40" i="11"/>
  <c r="B40" i="11"/>
  <c r="E41" i="11" s="1"/>
  <c r="F39" i="9"/>
  <c r="B39" i="9"/>
  <c r="E40" i="9" s="1"/>
  <c r="F41" i="8"/>
  <c r="B41" i="8"/>
  <c r="F40" i="7"/>
  <c r="B40" i="7"/>
  <c r="E41" i="7" s="1"/>
  <c r="F39" i="2"/>
  <c r="B39" i="2"/>
  <c r="E40" i="2" s="1"/>
  <c r="D39" i="1"/>
  <c r="F40" i="12" l="1"/>
  <c r="B40" i="12"/>
  <c r="E41" i="12" s="1"/>
  <c r="F41" i="11"/>
  <c r="B41" i="11"/>
  <c r="F40" i="9"/>
  <c r="B40" i="9"/>
  <c r="E41" i="9" s="1"/>
  <c r="F41" i="7"/>
  <c r="B41" i="7"/>
  <c r="F40" i="2"/>
  <c r="B40" i="2"/>
  <c r="E41" i="2" s="1"/>
  <c r="D40" i="1"/>
  <c r="B17" i="1"/>
  <c r="E18" i="1" s="1"/>
  <c r="F18" i="1" s="1"/>
  <c r="F41" i="12" l="1"/>
  <c r="B41" i="12"/>
  <c r="F41" i="9"/>
  <c r="B41" i="9"/>
  <c r="F41" i="2"/>
  <c r="B41" i="2"/>
  <c r="D41" i="1"/>
  <c r="E42" i="1" s="1"/>
  <c r="B18" i="1"/>
  <c r="E19" i="1" s="1"/>
  <c r="F19" i="1" s="1"/>
  <c r="B19" i="1" l="1"/>
  <c r="E20" i="1" s="1"/>
  <c r="F20" i="1" s="1"/>
  <c r="B20" i="1" l="1"/>
  <c r="E21" i="1" s="1"/>
  <c r="F21" i="1" s="1"/>
  <c r="B21" i="1" l="1"/>
  <c r="E22" i="1" s="1"/>
  <c r="F22" i="1" s="1"/>
  <c r="B22" i="1" l="1"/>
  <c r="E23" i="1" s="1"/>
  <c r="F23" i="1" s="1"/>
  <c r="B23" i="1" l="1"/>
  <c r="E24" i="1" s="1"/>
  <c r="F24" i="1" s="1"/>
  <c r="B24" i="1" l="1"/>
  <c r="E25" i="1" s="1"/>
  <c r="F25" i="1" s="1"/>
  <c r="B25" i="1" l="1"/>
  <c r="E26" i="1" s="1"/>
  <c r="F26" i="1" s="1"/>
  <c r="B26" i="1" l="1"/>
  <c r="E27" i="1" s="1"/>
  <c r="F27" i="1" s="1"/>
  <c r="B27" i="1" l="1"/>
  <c r="E28" i="1" s="1"/>
  <c r="F28" i="1" s="1"/>
  <c r="B28" i="1" l="1"/>
  <c r="E29" i="1" s="1"/>
  <c r="F29" i="1" s="1"/>
  <c r="B29" i="1" l="1"/>
  <c r="E30" i="1" s="1"/>
  <c r="F30" i="1" s="1"/>
  <c r="B30" i="1" l="1"/>
  <c r="E31" i="1" s="1"/>
  <c r="F31" i="1" s="1"/>
  <c r="B31" i="1" l="1"/>
  <c r="E32" i="1" s="1"/>
  <c r="F32" i="1" s="1"/>
  <c r="B32" i="1" l="1"/>
  <c r="E33" i="1" s="1"/>
  <c r="F33" i="1" s="1"/>
  <c r="B33" i="1" l="1"/>
  <c r="E34" i="1" s="1"/>
  <c r="F34" i="1" s="1"/>
  <c r="B34" i="1" l="1"/>
  <c r="E35" i="1" s="1"/>
  <c r="F35" i="1" s="1"/>
  <c r="B35" i="1" l="1"/>
  <c r="E36" i="1" s="1"/>
  <c r="F36" i="1" s="1"/>
  <c r="B36" i="1" l="1"/>
  <c r="E37" i="1" s="1"/>
  <c r="F37" i="1" s="1"/>
  <c r="B37" i="1" l="1"/>
  <c r="E38" i="1" s="1"/>
  <c r="F38" i="1" s="1"/>
  <c r="B38" i="1" l="1"/>
  <c r="E39" i="1" s="1"/>
  <c r="F39" i="1" s="1"/>
  <c r="B39" i="1" l="1"/>
  <c r="E40" i="1" s="1"/>
  <c r="F40" i="1" s="1"/>
  <c r="B40" i="1" l="1"/>
  <c r="E41" i="1" s="1"/>
  <c r="F41" i="1" s="1"/>
  <c r="B41" i="1" l="1"/>
  <c r="H18" i="14" l="1"/>
  <c r="J5" i="14"/>
  <c r="J7" i="14"/>
  <c r="H20" i="14"/>
  <c r="H19" i="14" l="1"/>
  <c r="H7" i="14" s="1"/>
  <c r="J21" i="14"/>
  <c r="H17" i="14"/>
  <c r="H5" i="14" s="1"/>
  <c r="J22" i="14" l="1"/>
  <c r="J10" i="14" s="1"/>
  <c r="J9" i="14"/>
  <c r="J23" i="14" l="1"/>
  <c r="J11" i="14" s="1"/>
  <c r="H21" i="14"/>
  <c r="H9" i="14" s="1"/>
  <c r="J24" i="14" l="1"/>
  <c r="J12" i="14" s="1"/>
  <c r="H22" i="14"/>
  <c r="H10" i="14" s="1"/>
  <c r="J25" i="14" l="1"/>
  <c r="J13" i="14" s="1"/>
  <c r="H23" i="14"/>
  <c r="H11" i="14" s="1"/>
  <c r="H24" i="14" l="1"/>
  <c r="H12" i="14" s="1"/>
  <c r="H25" i="14" l="1"/>
  <c r="H13" i="14" s="1"/>
</calcChain>
</file>

<file path=xl/sharedStrings.xml><?xml version="1.0" encoding="utf-8"?>
<sst xmlns="http://schemas.openxmlformats.org/spreadsheetml/2006/main" count="369" uniqueCount="68">
  <si>
    <t>Basic Ex works price in £s</t>
  </si>
  <si>
    <t xml:space="preserve">No Load Loss in Watts (NLL) </t>
  </si>
  <si>
    <t>Load Loss in Watts (LL)</t>
  </si>
  <si>
    <t xml:space="preserve">Basic Ex works price in £s </t>
  </si>
  <si>
    <t>No Load Loss in Watts (NLL)</t>
  </si>
  <si>
    <t>NLL Saved Watts</t>
  </si>
  <si>
    <t>LL Saved Watts</t>
  </si>
  <si>
    <t>CO2 Reduced (t)</t>
  </si>
  <si>
    <t>Annual Savings</t>
  </si>
  <si>
    <t>(GEF=0.537)</t>
  </si>
  <si>
    <t>No of Years</t>
  </si>
  <si>
    <t>Remarks</t>
  </si>
  <si>
    <t>Extra Investment carried forward</t>
  </si>
  <si>
    <t>Total Savings</t>
  </si>
  <si>
    <t>Rating</t>
  </si>
  <si>
    <t>1000KVA</t>
  </si>
  <si>
    <t>315kVA</t>
  </si>
  <si>
    <t>800kVA</t>
  </si>
  <si>
    <t>500kVA</t>
  </si>
  <si>
    <t>Wilson e2 ECO Amorphous Tier 2</t>
  </si>
  <si>
    <t>1500kVA</t>
  </si>
  <si>
    <t>2000kVA</t>
  </si>
  <si>
    <t>Wilson e1 ECO Tier 1</t>
  </si>
  <si>
    <t>Due to No Load Losses</t>
  </si>
  <si>
    <t>1250KVA</t>
  </si>
  <si>
    <t>Considering Load factor of (xx)%</t>
  </si>
  <si>
    <t>Total kWh</t>
  </si>
  <si>
    <t>Extra Investment on Wilson e2</t>
  </si>
  <si>
    <t>Energy Cost in £s (per kWh) (Increasing 2.0% per annum)</t>
  </si>
  <si>
    <t>Cost of energy saved for kWh/year</t>
  </si>
  <si>
    <t>Additional investment in Wilson e2 ECO Amorphous Super Low Loss in £s</t>
  </si>
  <si>
    <t>2500kVA</t>
  </si>
  <si>
    <t/>
  </si>
  <si>
    <t>e1</t>
  </si>
  <si>
    <t>Load Losses</t>
  </si>
  <si>
    <t>No Load Losses</t>
  </si>
  <si>
    <t>e2 Amorphous</t>
  </si>
  <si>
    <t>1950's</t>
  </si>
  <si>
    <t>1970's</t>
  </si>
  <si>
    <t>1990's</t>
  </si>
  <si>
    <t>Year List</t>
  </si>
  <si>
    <t>Data only available for 500 &amp; 1000kVA</t>
  </si>
  <si>
    <t>e2</t>
  </si>
  <si>
    <t>Transformer made in the 90's</t>
  </si>
  <si>
    <t>Transformer made in the 70's</t>
  </si>
  <si>
    <t>Transformer made in the 50's</t>
  </si>
  <si>
    <t>pre 2015</t>
  </si>
  <si>
    <t>Basic ex-Works Price</t>
  </si>
  <si>
    <t>Percentage Diff for extrapolation</t>
  </si>
  <si>
    <t>post 2015</t>
  </si>
  <si>
    <t>Standard CRGO Transformer</t>
  </si>
  <si>
    <t>TX Type</t>
  </si>
  <si>
    <t>STD Tier 2</t>
  </si>
  <si>
    <t>Standard Tier 2 Transformer</t>
  </si>
  <si>
    <t>Tier 2</t>
  </si>
  <si>
    <t>Standard</t>
  </si>
  <si>
    <t>Wilson e1 ECO CRGO Tier 1</t>
  </si>
  <si>
    <t>Wilson e1</t>
  </si>
  <si>
    <t>Compare to:</t>
  </si>
  <si>
    <t>(GEF=0.283)</t>
  </si>
  <si>
    <t>Wilson e3 ECO Amorphous</t>
  </si>
  <si>
    <t>e3 Amorphous</t>
  </si>
  <si>
    <t>e3</t>
  </si>
  <si>
    <t>Pre 2015</t>
  </si>
  <si>
    <t>Std Tier 2</t>
  </si>
  <si>
    <t>WPS e3</t>
  </si>
  <si>
    <t>WPS e2</t>
  </si>
  <si>
    <t>WPS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</si>
</sst>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0.000"/>
    <numFmt numFmtId="165" formatCode="&quot;£&quot;#,##0.00"/>
    <numFmt numFmtId="166" formatCode="#,##0_ ;[Red]\-#,##0\ "/>
    <numFmt numFmtId="167" formatCode="#,##0.000"/>
    <numFmt numFmtId="168" formatCode="0&quot;kVA&quot;"/>
    <numFmt numFmtId="169" formatCode="0&quot; W&quot;"/>
    <numFmt numFmtId="170" formatCode="0.0000"/>
  </numFmts>
  <fonts count="21">
    <font>
      <sz val="11"/>
      <color theme="1"/>
      <name val="Calibri"/>
      <family val="2"/>
      <scheme val="minor"/>
    </font>
    <font>
      <sz val="11"/>
      <color theme="6"/>
      <name val="Arial"/>
      <family val="2"/>
    </font>
    <font>
      <sz val="11"/>
      <color theme="6"/>
      <name val="Museo Sans 500"/>
      <family val="3"/>
    </font>
    <font>
      <b/>
      <sz val="12"/>
      <color theme="5"/>
      <name val="Arial"/>
      <family val="2"/>
    </font>
    <font>
      <sz val="9"/>
      <color theme="3"/>
      <name val="Arial"/>
      <family val="2"/>
    </font>
    <font>
      <sz val="9"/>
      <color theme="4"/>
      <name val="Arial"/>
      <family val="2"/>
    </font>
    <font>
      <b/>
      <sz val="8"/>
      <color theme="3"/>
      <name val="Arial"/>
      <family val="2"/>
    </font>
    <font>
      <sz val="8"/>
      <color theme="6"/>
      <name val="Arial"/>
      <family val="2"/>
    </font>
    <font>
      <sz val="8"/>
      <color rgb="FF008FBE"/>
      <name val="Arial"/>
      <family val="2"/>
    </font>
    <font>
      <sz val="8"/>
      <color theme="0"/>
      <name val="Arial"/>
      <family val="2"/>
    </font>
    <font>
      <b/>
      <sz val="8"/>
      <color theme="5"/>
      <name val="Arial"/>
      <family val="2"/>
    </font>
    <font>
      <sz val="8"/>
      <color rgb="FF81BC41"/>
      <name val="Arial"/>
      <family val="2"/>
    </font>
    <font>
      <sz val="8"/>
      <color theme="4"/>
      <name val="Arial"/>
      <family val="2"/>
    </font>
    <font>
      <b/>
      <sz val="11"/>
      <color theme="5"/>
      <name val="Arial"/>
      <family val="2"/>
    </font>
    <font>
      <sz val="8"/>
      <name val="Arial"/>
      <family val="2"/>
    </font>
    <font>
      <sz val="8"/>
      <color rgb="FFBED5DF"/>
      <name val="Arial"/>
      <family val="2"/>
    </font>
    <font>
      <b/>
      <sz val="11"/>
      <color theme="3"/>
      <name val="Arial"/>
      <family val="2"/>
    </font>
    <font>
      <b/>
      <sz val="10"/>
      <color theme="3"/>
      <name val="Arial"/>
      <family val="2"/>
    </font>
    <font>
      <sz val="11"/>
      <name val="Arial"/>
      <family val="2"/>
    </font>
    <font>
      <b/>
      <sz val="7"/>
      <color theme="3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BDC7CE"/>
      </left>
      <right style="thin">
        <color rgb="FFBDC7CE"/>
      </right>
      <top style="thin">
        <color rgb="FFBDC7CE"/>
      </top>
      <bottom style="thin">
        <color rgb="FFBDC7CE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DC7CE"/>
      </left>
      <right style="thin">
        <color rgb="FFBDC7CE"/>
      </right>
      <top style="thin">
        <color rgb="FFBDC7CE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DC7CE"/>
      </left>
      <right style="thin">
        <color rgb="FFBDC7CE"/>
      </right>
      <top/>
      <bottom style="thin">
        <color rgb="FFBDC7CE"/>
      </bottom>
      <diagonal/>
    </border>
    <border>
      <left style="thin">
        <color rgb="FFBDC7CE"/>
      </left>
      <right/>
      <top style="thin">
        <color rgb="FFBDC7CE"/>
      </top>
      <bottom/>
      <diagonal/>
    </border>
    <border>
      <left/>
      <right style="thin">
        <color rgb="FFBDC7CE"/>
      </right>
      <top style="thin">
        <color rgb="FFBDC7CE"/>
      </top>
      <bottom/>
      <diagonal/>
    </border>
    <border>
      <left style="thin">
        <color rgb="FFBDC7CE"/>
      </left>
      <right/>
      <top/>
      <bottom style="thin">
        <color rgb="FFBDC7CE"/>
      </bottom>
      <diagonal/>
    </border>
    <border>
      <left/>
      <right style="thin">
        <color rgb="FFBDC7CE"/>
      </right>
      <top/>
      <bottom style="thin">
        <color rgb="FFBDC7CE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8" fontId="5" fillId="3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166" fontId="18" fillId="3" borderId="0" xfId="0" applyNumberFormat="1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7" fillId="0" borderId="0" xfId="0" applyFont="1"/>
    <xf numFmtId="2" fontId="7" fillId="0" borderId="1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2" fontId="18" fillId="3" borderId="0" xfId="0" applyNumberFormat="1" applyFont="1" applyFill="1" applyAlignment="1">
      <alignment horizontal="left" vertical="center"/>
    </xf>
    <xf numFmtId="42" fontId="14" fillId="2" borderId="1" xfId="0" applyNumberFormat="1" applyFont="1" applyFill="1" applyBorder="1" applyAlignment="1">
      <alignment horizontal="center" vertical="center"/>
    </xf>
    <xf numFmtId="169" fontId="14" fillId="3" borderId="0" xfId="0" applyNumberFormat="1" applyFont="1" applyFill="1" applyBorder="1" applyAlignment="1">
      <alignment horizontal="center" vertical="center"/>
    </xf>
    <xf numFmtId="44" fontId="16" fillId="0" borderId="1" xfId="0" applyNumberFormat="1" applyFont="1" applyFill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center" vertical="center"/>
    </xf>
    <xf numFmtId="44" fontId="9" fillId="0" borderId="1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8" fontId="3" fillId="2" borderId="19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3" borderId="0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0" applyNumberFormat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168" fontId="20" fillId="0" borderId="0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0" xfId="0" applyNumberFormat="1"/>
    <xf numFmtId="0" fontId="13" fillId="0" borderId="1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96">
    <dxf>
      <font>
        <color theme="4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</dxf>
    <dxf>
      <font>
        <color auto="1"/>
      </font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4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</dxf>
    <dxf>
      <font>
        <color auto="1"/>
      </font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4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</dxf>
    <dxf>
      <font>
        <color auto="1"/>
      </font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4"/>
      </font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</dxf>
    <dxf>
      <font>
        <color auto="1"/>
      </font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  <dxf>
      <font>
        <color theme="5"/>
      </font>
      <fill>
        <patternFill patternType="none">
          <bgColor auto="1"/>
        </patternFill>
      </fill>
    </dxf>
    <dxf>
      <font>
        <color rgb="FF81BC41"/>
      </font>
    </dxf>
    <dxf>
      <font>
        <color rgb="FF81BC41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81BC41"/>
      </font>
      <fill>
        <patternFill patternType="none">
          <bgColor auto="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81BC41"/>
        </patternFill>
      </fill>
    </dxf>
  </dxfs>
  <tableStyles count="0" defaultTableStyle="TableStyleMedium2" defaultPivotStyle="PivotStyleLight16"/>
  <colors>
    <mruColors>
      <color rgb="FF81BC41"/>
      <color rgb="FF000000"/>
      <color rgb="FFBDC7CE"/>
      <color rgb="FF008FBE"/>
      <color rgb="FFBED5DF"/>
      <color rgb="FFD7E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1000kVA Combined Losses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7A-484A-B95D-49C92F4D6D82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7A-484A-B95D-49C92F4D6D82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7A-484A-B95D-49C92F4D6D82}"/>
              </c:ext>
            </c:extLst>
          </c:dPt>
          <c:cat>
            <c:strRef>
              <c:f>Data!$Q$20:$X$20</c:f>
              <c:strCache>
                <c:ptCount val="8"/>
                <c:pt idx="0">
                  <c:v>1950</c:v>
                </c:pt>
                <c:pt idx="1">
                  <c:v>1970</c:v>
                </c:pt>
                <c:pt idx="2">
                  <c:v>1990</c:v>
                </c:pt>
                <c:pt idx="3">
                  <c:v>Pre 2015</c:v>
                </c:pt>
                <c:pt idx="4">
                  <c:v>WPS e1</c:v>
                </c:pt>
                <c:pt idx="5">
                  <c:v>Std Tier 2</c:v>
                </c:pt>
                <c:pt idx="6">
                  <c:v>WPS e2</c:v>
                </c:pt>
                <c:pt idx="7">
                  <c:v>WPS e3</c:v>
                </c:pt>
              </c:strCache>
            </c:strRef>
          </c:cat>
          <c:val>
            <c:numRef>
              <c:f>Data!$Q$21:$X$21</c:f>
              <c:numCache>
                <c:formatCode>0</c:formatCode>
                <c:ptCount val="8"/>
                <c:pt idx="0">
                  <c:v>16870</c:v>
                </c:pt>
                <c:pt idx="1">
                  <c:v>14770</c:v>
                </c:pt>
                <c:pt idx="2">
                  <c:v>13850</c:v>
                </c:pt>
                <c:pt idx="3" formatCode="General">
                  <c:v>13850</c:v>
                </c:pt>
                <c:pt idx="4" formatCode="General">
                  <c:v>11270</c:v>
                </c:pt>
                <c:pt idx="5" formatCode="General">
                  <c:v>8293</c:v>
                </c:pt>
                <c:pt idx="6" formatCode="General">
                  <c:v>7600</c:v>
                </c:pt>
                <c:pt idx="7" formatCode="General">
                  <c:v>7290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7A-484A-B95D-49C92F4D6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5380600"/>
        <c:axId val="845384520"/>
      </c:barChart>
      <c:catAx>
        <c:axId val="84538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384520"/>
        <c:crosses val="autoZero"/>
        <c:auto val="1"/>
        <c:lblAlgn val="ctr"/>
        <c:lblOffset val="100"/>
        <c:noMultiLvlLbl val="0"/>
      </c:catAx>
      <c:valAx>
        <c:axId val="84538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38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21</xdr:row>
      <xdr:rowOff>190499</xdr:rowOff>
    </xdr:from>
    <xdr:to>
      <xdr:col>23</xdr:col>
      <xdr:colOff>533399</xdr:colOff>
      <xdr:row>37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ilson Standard Draft Theme">
  <a:themeElements>
    <a:clrScheme name="Custom 1">
      <a:dk1>
        <a:srgbClr val="000000"/>
      </a:dk1>
      <a:lt1>
        <a:sysClr val="window" lastClr="FFFFFF"/>
      </a:lt1>
      <a:dk2>
        <a:srgbClr val="006878"/>
      </a:dk2>
      <a:lt2>
        <a:srgbClr val="FEFFFF"/>
      </a:lt2>
      <a:accent1>
        <a:srgbClr val="009CB9"/>
      </a:accent1>
      <a:accent2>
        <a:srgbClr val="006878"/>
      </a:accent2>
      <a:accent3>
        <a:srgbClr val="4C4D4C"/>
      </a:accent3>
      <a:accent4>
        <a:srgbClr val="CACBCA"/>
      </a:accent4>
      <a:accent5>
        <a:srgbClr val="FEFFFF"/>
      </a:accent5>
      <a:accent6>
        <a:srgbClr val="FEFFFF"/>
      </a:accent6>
      <a:hlink>
        <a:srgbClr val="006878"/>
      </a:hlink>
      <a:folHlink>
        <a:srgbClr val="0096AF"/>
      </a:folHlink>
    </a:clrScheme>
    <a:fontScheme name="Office Them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 algn="l">
          <a:lnSpc>
            <a:spcPct val="100000"/>
          </a:lnSpc>
          <a:spcBef>
            <a:spcPct val="0"/>
          </a:spcBef>
          <a:defRPr sz="2400" dirty="0" smtClean="0">
            <a:solidFill>
              <a:srgbClr val="434C53"/>
            </a:solidFill>
            <a:latin typeface="Bebas Neue" charset="0"/>
            <a:ea typeface="Bebas Neue" charset="0"/>
            <a:cs typeface="Bebas Neue" charset="0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Theme2" id="{A335294B-0365-734F-B1BB-AD76D2194FBF}" vid="{40829E2B-0650-6548-84BC-F37EC0C07B6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5"/>
  <sheetViews>
    <sheetView view="pageLayout" zoomScaleNormal="100" workbookViewId="0">
      <selection activeCell="E42" sqref="E42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4.81640625" style="4" bestFit="1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9" t="s">
        <v>16</v>
      </c>
      <c r="C1" s="10"/>
      <c r="D1" s="10"/>
      <c r="E1" s="10"/>
      <c r="F1" s="10"/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">
        <v>22</v>
      </c>
      <c r="B3" s="128"/>
      <c r="C3" s="128"/>
      <c r="D3" s="5"/>
      <c r="E3" s="128" t="s">
        <v>19</v>
      </c>
      <c r="F3" s="128"/>
      <c r="G3" s="3"/>
    </row>
    <row r="4" spans="1:7">
      <c r="A4" s="129" t="s">
        <v>0</v>
      </c>
      <c r="B4" s="129"/>
      <c r="C4" s="29">
        <v>7550</v>
      </c>
      <c r="D4" s="6"/>
      <c r="E4" s="8" t="s">
        <v>3</v>
      </c>
      <c r="F4" s="29">
        <v>9995</v>
      </c>
      <c r="G4" s="3"/>
    </row>
    <row r="5" spans="1:7" ht="14.25" customHeight="1">
      <c r="A5" s="129" t="s">
        <v>1</v>
      </c>
      <c r="B5" s="129"/>
      <c r="C5" s="7">
        <v>360</v>
      </c>
      <c r="D5" s="5"/>
      <c r="E5" s="8" t="s">
        <v>4</v>
      </c>
      <c r="F5" s="7">
        <v>200</v>
      </c>
      <c r="G5" s="3"/>
    </row>
    <row r="6" spans="1:7">
      <c r="A6" s="129" t="s">
        <v>2</v>
      </c>
      <c r="B6" s="129"/>
      <c r="C6" s="7">
        <v>3900</v>
      </c>
      <c r="D6" s="5"/>
      <c r="E6" s="8" t="s">
        <v>2</v>
      </c>
      <c r="F6" s="7">
        <v>2800</v>
      </c>
      <c r="G6" s="3"/>
    </row>
    <row r="7" spans="1:7" ht="7.5" customHeight="1">
      <c r="A7" s="37"/>
      <c r="B7" s="37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34">
        <f>F4-C4</f>
        <v>2445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1">
      <c r="A10" s="20" t="s">
        <v>5</v>
      </c>
      <c r="B10" s="20" t="s">
        <v>6</v>
      </c>
      <c r="C10" s="127" t="s">
        <v>8</v>
      </c>
      <c r="D10" s="127"/>
      <c r="E10" s="127"/>
      <c r="F10" s="127"/>
    </row>
    <row r="11" spans="1:7" ht="30" customHeight="1">
      <c r="A11" s="21"/>
      <c r="B11" s="22"/>
      <c r="C11" s="23" t="s">
        <v>23</v>
      </c>
      <c r="D11" s="23" t="s">
        <v>25</v>
      </c>
      <c r="E11" s="23" t="s">
        <v>26</v>
      </c>
      <c r="F11" s="23" t="s">
        <v>7</v>
      </c>
    </row>
    <row r="12" spans="1:7">
      <c r="A12" s="24"/>
      <c r="B12" s="14"/>
      <c r="C12" s="14"/>
      <c r="D12" s="25">
        <v>70</v>
      </c>
      <c r="E12" s="14"/>
      <c r="F12" s="14" t="s">
        <v>9</v>
      </c>
    </row>
    <row r="13" spans="1:7">
      <c r="A13" s="26">
        <f>C5-F5</f>
        <v>160</v>
      </c>
      <c r="B13" s="14">
        <f>C6-F6</f>
        <v>1100</v>
      </c>
      <c r="C13" s="16">
        <f>A13*24*365/1000</f>
        <v>1401.6</v>
      </c>
      <c r="D13" s="14">
        <f>(B13*24*365*((D12*D12)/10000/1000))</f>
        <v>4721.6399999999994</v>
      </c>
      <c r="E13" s="27">
        <f>D13+C13</f>
        <v>6123.24</v>
      </c>
      <c r="F13" s="28">
        <f>E13*0.000537</f>
        <v>3.2881798799999999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42">
      <c r="A15" s="13" t="s">
        <v>10</v>
      </c>
      <c r="B15" s="13" t="s">
        <v>27</v>
      </c>
      <c r="C15" s="13" t="s">
        <v>28</v>
      </c>
      <c r="D15" s="13" t="s">
        <v>29</v>
      </c>
      <c r="E15" s="13" t="s">
        <v>12</v>
      </c>
      <c r="F15" s="13" t="s">
        <v>11</v>
      </c>
    </row>
    <row r="16" spans="1:7">
      <c r="A16" s="14">
        <v>0</v>
      </c>
      <c r="B16" s="15">
        <f>F8</f>
        <v>2445</v>
      </c>
      <c r="C16" s="38"/>
      <c r="D16" s="14"/>
      <c r="E16" s="14"/>
      <c r="F16" s="14"/>
    </row>
    <row r="17" spans="1:6">
      <c r="A17" s="14">
        <v>1</v>
      </c>
      <c r="B17" s="15">
        <f>E17</f>
        <v>1771.3335999999999</v>
      </c>
      <c r="C17" s="39">
        <v>0.11</v>
      </c>
      <c r="D17" s="16">
        <f>C17*E13</f>
        <v>673.55639999999994</v>
      </c>
      <c r="E17" s="17">
        <f>B16-C17-D17</f>
        <v>1771.3335999999999</v>
      </c>
      <c r="F17" s="30" t="str">
        <f>IF(E17&gt;0,"Payback Period","Lifetime Savings")</f>
        <v>Payback Period</v>
      </c>
    </row>
    <row r="18" spans="1:6">
      <c r="A18" s="14">
        <v>2</v>
      </c>
      <c r="B18" s="15">
        <f t="shared" ref="B18:B41" si="0">E18</f>
        <v>1084.1938719999998</v>
      </c>
      <c r="C18" s="38">
        <f>C17+(C17*2%)</f>
        <v>0.11219999999999999</v>
      </c>
      <c r="D18" s="16">
        <f>C18*E13</f>
        <v>687.02752799999996</v>
      </c>
      <c r="E18" s="17">
        <f t="shared" ref="E18:E41" si="1">B17-C18-D18</f>
        <v>1084.1938719999998</v>
      </c>
      <c r="F18" s="30" t="str">
        <f>IF(E18&gt;0,"Payback Period","Lifetime Savings")</f>
        <v>Payback Period</v>
      </c>
    </row>
    <row r="19" spans="1:6">
      <c r="A19" s="14">
        <v>3</v>
      </c>
      <c r="B19" s="15">
        <f t="shared" si="0"/>
        <v>383.31134943999984</v>
      </c>
      <c r="C19" s="38">
        <f t="shared" ref="C19:C41" si="2">C18+(C18*2%)</f>
        <v>0.11444399999999999</v>
      </c>
      <c r="D19" s="16">
        <f>C19*E13</f>
        <v>700.76807855999994</v>
      </c>
      <c r="E19" s="17">
        <f t="shared" si="1"/>
        <v>383.31134943999984</v>
      </c>
      <c r="F19" s="30" t="str">
        <f t="shared" ref="F19:F41" si="3">IF(E19&gt;0,"Payback Period","Lifetime Savings")</f>
        <v>Payback Period</v>
      </c>
    </row>
    <row r="20" spans="1:6">
      <c r="A20" s="14">
        <v>4</v>
      </c>
      <c r="B20" s="15">
        <f t="shared" si="0"/>
        <v>-331.58882357120001</v>
      </c>
      <c r="C20" s="38">
        <f t="shared" si="2"/>
        <v>0.11673287999999998</v>
      </c>
      <c r="D20" s="16">
        <f>C20*E13</f>
        <v>714.78344013119988</v>
      </c>
      <c r="E20" s="17">
        <f t="shared" si="1"/>
        <v>-331.58882357120001</v>
      </c>
      <c r="F20" s="30" t="str">
        <f t="shared" si="3"/>
        <v>Lifetime Savings</v>
      </c>
    </row>
    <row r="21" spans="1:6">
      <c r="A21" s="14">
        <v>5</v>
      </c>
      <c r="B21" s="15">
        <f t="shared" si="0"/>
        <v>-1060.7870000426237</v>
      </c>
      <c r="C21" s="38">
        <f t="shared" si="2"/>
        <v>0.11906753759999998</v>
      </c>
      <c r="D21" s="16">
        <f>C21*E13</f>
        <v>729.07910893382382</v>
      </c>
      <c r="E21" s="17">
        <f t="shared" si="1"/>
        <v>-1060.7870000426237</v>
      </c>
      <c r="F21" s="30" t="str">
        <f t="shared" si="3"/>
        <v>Lifetime Savings</v>
      </c>
    </row>
    <row r="22" spans="1:6">
      <c r="A22" s="14">
        <v>6</v>
      </c>
      <c r="B22" s="15">
        <f t="shared" si="0"/>
        <v>-1804.5691400434762</v>
      </c>
      <c r="C22" s="38">
        <f t="shared" si="2"/>
        <v>0.12144888835199998</v>
      </c>
      <c r="D22" s="16">
        <f>C22*E13</f>
        <v>743.66069111250033</v>
      </c>
      <c r="E22" s="17">
        <f t="shared" si="1"/>
        <v>-1804.5691400434762</v>
      </c>
      <c r="F22" s="30" t="str">
        <f t="shared" si="3"/>
        <v>Lifetime Savings</v>
      </c>
    </row>
    <row r="23" spans="1:6">
      <c r="A23" s="14">
        <v>7</v>
      </c>
      <c r="B23" s="15">
        <f t="shared" si="0"/>
        <v>-2563.2269228443456</v>
      </c>
      <c r="C23" s="38">
        <f t="shared" si="2"/>
        <v>0.12387786611903998</v>
      </c>
      <c r="D23" s="16">
        <f>C23*E13</f>
        <v>758.53390493475035</v>
      </c>
      <c r="E23" s="17">
        <f t="shared" si="1"/>
        <v>-2563.2269228443456</v>
      </c>
      <c r="F23" s="30" t="str">
        <f t="shared" si="3"/>
        <v>Lifetime Savings</v>
      </c>
    </row>
    <row r="24" spans="1:6">
      <c r="A24" s="14">
        <v>8</v>
      </c>
      <c r="B24" s="15">
        <f t="shared" si="0"/>
        <v>-3337.0578613012326</v>
      </c>
      <c r="C24" s="38">
        <f t="shared" si="2"/>
        <v>0.12635542344142078</v>
      </c>
      <c r="D24" s="16">
        <f>C24*E13</f>
        <v>773.70458303344537</v>
      </c>
      <c r="E24" s="17">
        <f t="shared" si="1"/>
        <v>-3337.0578613012326</v>
      </c>
      <c r="F24" s="30" t="str">
        <f t="shared" si="3"/>
        <v>Lifetime Savings</v>
      </c>
    </row>
    <row r="25" spans="1:6">
      <c r="A25" s="14">
        <v>9</v>
      </c>
      <c r="B25" s="15">
        <f t="shared" si="0"/>
        <v>-4126.3654185272571</v>
      </c>
      <c r="C25" s="38">
        <f t="shared" si="2"/>
        <v>0.1288825319102492</v>
      </c>
      <c r="D25" s="16">
        <f>C25*E13</f>
        <v>789.17867469411431</v>
      </c>
      <c r="E25" s="17">
        <f t="shared" si="1"/>
        <v>-4126.3654185272571</v>
      </c>
      <c r="F25" s="30" t="str">
        <f t="shared" si="3"/>
        <v>Lifetime Savings</v>
      </c>
    </row>
    <row r="26" spans="1:6">
      <c r="A26" s="14">
        <v>10</v>
      </c>
      <c r="B26" s="15">
        <f t="shared" si="0"/>
        <v>-4931.4591268978029</v>
      </c>
      <c r="C26" s="38">
        <f t="shared" si="2"/>
        <v>0.13146018254845418</v>
      </c>
      <c r="D26" s="16">
        <f>C26*E13</f>
        <v>804.96224818799658</v>
      </c>
      <c r="E26" s="17">
        <f t="shared" si="1"/>
        <v>-4931.4591268978029</v>
      </c>
      <c r="F26" s="30" t="str">
        <f t="shared" si="3"/>
        <v>Lifetime Savings</v>
      </c>
    </row>
    <row r="27" spans="1:6">
      <c r="A27" s="14">
        <v>11</v>
      </c>
      <c r="B27" s="15">
        <f t="shared" si="0"/>
        <v>-5752.6547094357593</v>
      </c>
      <c r="C27" s="38">
        <f t="shared" si="2"/>
        <v>0.13408938619942326</v>
      </c>
      <c r="D27" s="16">
        <f>C27*E13</f>
        <v>821.06149315175651</v>
      </c>
      <c r="E27" s="17">
        <f t="shared" si="1"/>
        <v>-5752.6547094357593</v>
      </c>
      <c r="F27" s="30" t="str">
        <f t="shared" si="3"/>
        <v>Lifetime Savings</v>
      </c>
    </row>
    <row r="28" spans="1:6">
      <c r="A28" s="14">
        <v>12</v>
      </c>
      <c r="B28" s="15">
        <f t="shared" si="0"/>
        <v>-6590.2742036244745</v>
      </c>
      <c r="C28" s="38">
        <f t="shared" si="2"/>
        <v>0.13677117392341173</v>
      </c>
      <c r="D28" s="16">
        <f>C28*E13</f>
        <v>837.48272301479165</v>
      </c>
      <c r="E28" s="17">
        <f t="shared" si="1"/>
        <v>-6590.2742036244745</v>
      </c>
      <c r="F28" s="30" t="str">
        <f t="shared" si="3"/>
        <v>Lifetime Savings</v>
      </c>
    </row>
    <row r="29" spans="1:6">
      <c r="A29" s="14">
        <v>13</v>
      </c>
      <c r="B29" s="15">
        <f t="shared" si="0"/>
        <v>-7444.6460876969641</v>
      </c>
      <c r="C29" s="38">
        <f t="shared" si="2"/>
        <v>0.13950659740187996</v>
      </c>
      <c r="D29" s="16">
        <f>C29*E13</f>
        <v>854.23237747508745</v>
      </c>
      <c r="E29" s="17">
        <f t="shared" si="1"/>
        <v>-7444.6460876969641</v>
      </c>
      <c r="F29" s="30" t="str">
        <f t="shared" si="3"/>
        <v>Lifetime Savings</v>
      </c>
    </row>
    <row r="30" spans="1:6">
      <c r="A30" s="14">
        <v>14</v>
      </c>
      <c r="B30" s="15">
        <f t="shared" si="0"/>
        <v>-8316.1054094509036</v>
      </c>
      <c r="C30" s="38">
        <f t="shared" si="2"/>
        <v>0.14229672934991755</v>
      </c>
      <c r="D30" s="16">
        <f>C30*E13</f>
        <v>871.31702502458916</v>
      </c>
      <c r="E30" s="17">
        <f t="shared" si="1"/>
        <v>-8316.1054094509036</v>
      </c>
      <c r="F30" s="30" t="str">
        <f t="shared" si="3"/>
        <v>Lifetime Savings</v>
      </c>
    </row>
    <row r="31" spans="1:6">
      <c r="A31" s="14">
        <v>15</v>
      </c>
      <c r="B31" s="15">
        <f t="shared" si="0"/>
        <v>-9204.9939176399221</v>
      </c>
      <c r="C31" s="38">
        <f t="shared" si="2"/>
        <v>0.14514266393691591</v>
      </c>
      <c r="D31" s="16">
        <f>C31*E13</f>
        <v>888.743365525081</v>
      </c>
      <c r="E31" s="17">
        <f t="shared" si="1"/>
        <v>-9204.9939176399221</v>
      </c>
      <c r="F31" s="30" t="str">
        <f t="shared" si="3"/>
        <v>Lifetime Savings</v>
      </c>
    </row>
    <row r="32" spans="1:6">
      <c r="A32" s="14">
        <v>16</v>
      </c>
      <c r="B32" s="15">
        <f t="shared" si="0"/>
        <v>-10111.660195992719</v>
      </c>
      <c r="C32" s="38">
        <f t="shared" si="2"/>
        <v>0.14804551721565423</v>
      </c>
      <c r="D32" s="16">
        <f>C32*E13</f>
        <v>906.51823283558258</v>
      </c>
      <c r="E32" s="17">
        <f t="shared" si="1"/>
        <v>-10111.660195992719</v>
      </c>
      <c r="F32" s="30" t="str">
        <f t="shared" si="3"/>
        <v>Lifetime Savings</v>
      </c>
    </row>
    <row r="33" spans="1:7">
      <c r="A33" s="14">
        <v>17</v>
      </c>
      <c r="B33" s="15">
        <f t="shared" si="0"/>
        <v>-11036.459799912574</v>
      </c>
      <c r="C33" s="38">
        <f t="shared" si="2"/>
        <v>0.15100642755996732</v>
      </c>
      <c r="D33" s="16">
        <f>C33*E13</f>
        <v>924.64859749229424</v>
      </c>
      <c r="E33" s="17">
        <f t="shared" si="1"/>
        <v>-11036.459799912574</v>
      </c>
      <c r="F33" s="30" t="str">
        <f t="shared" si="3"/>
        <v>Lifetime Savings</v>
      </c>
    </row>
    <row r="34" spans="1:7">
      <c r="A34" s="14">
        <v>18</v>
      </c>
      <c r="B34" s="15">
        <f t="shared" si="0"/>
        <v>-11979.755395910825</v>
      </c>
      <c r="C34" s="38">
        <f t="shared" si="2"/>
        <v>0.15402655611116667</v>
      </c>
      <c r="D34" s="16">
        <f>C34*E13</f>
        <v>943.14156944214017</v>
      </c>
      <c r="E34" s="17">
        <f t="shared" si="1"/>
        <v>-11979.755395910825</v>
      </c>
      <c r="F34" s="30" t="str">
        <f t="shared" si="3"/>
        <v>Lifetime Savings</v>
      </c>
    </row>
    <row r="35" spans="1:7">
      <c r="A35" s="14">
        <v>19</v>
      </c>
      <c r="B35" s="15">
        <f t="shared" si="0"/>
        <v>-12941.916903829042</v>
      </c>
      <c r="C35" s="38">
        <f t="shared" si="2"/>
        <v>0.15710708723339001</v>
      </c>
      <c r="D35" s="16">
        <f>C35*E13</f>
        <v>962.00440083098295</v>
      </c>
      <c r="E35" s="17">
        <f t="shared" si="1"/>
        <v>-12941.916903829042</v>
      </c>
      <c r="F35" s="30" t="str">
        <f t="shared" si="3"/>
        <v>Lifetime Savings</v>
      </c>
    </row>
    <row r="36" spans="1:7">
      <c r="A36" s="14">
        <v>20</v>
      </c>
      <c r="B36" s="15">
        <f t="shared" si="0"/>
        <v>-13923.321641905623</v>
      </c>
      <c r="C36" s="38">
        <f t="shared" si="2"/>
        <v>0.16024922897805779</v>
      </c>
      <c r="D36" s="16">
        <f>C36*E13</f>
        <v>981.24448884760261</v>
      </c>
      <c r="E36" s="17">
        <f t="shared" si="1"/>
        <v>-13923.321641905623</v>
      </c>
      <c r="F36" s="30" t="str">
        <f t="shared" si="3"/>
        <v>Lifetime Savings</v>
      </c>
    </row>
    <row r="37" spans="1:7">
      <c r="A37" s="14">
        <v>21</v>
      </c>
      <c r="B37" s="15">
        <f t="shared" si="0"/>
        <v>-14924.354474743735</v>
      </c>
      <c r="C37" s="38">
        <f t="shared" si="2"/>
        <v>0.16345421355761894</v>
      </c>
      <c r="D37" s="16">
        <f>C37*E13</f>
        <v>1000.8693786245545</v>
      </c>
      <c r="E37" s="17">
        <f t="shared" si="1"/>
        <v>-14924.354474743735</v>
      </c>
      <c r="F37" s="30" t="str">
        <f t="shared" si="3"/>
        <v>Lifetime Savings</v>
      </c>
    </row>
    <row r="38" spans="1:7">
      <c r="A38" s="14">
        <v>22</v>
      </c>
      <c r="B38" s="15">
        <f t="shared" si="0"/>
        <v>-15945.40796423861</v>
      </c>
      <c r="C38" s="38">
        <f t="shared" si="2"/>
        <v>0.16672329782877132</v>
      </c>
      <c r="D38" s="16">
        <f>C38*E13</f>
        <v>1020.8867661970456</v>
      </c>
      <c r="E38" s="17">
        <f t="shared" si="1"/>
        <v>-15945.40796423861</v>
      </c>
      <c r="F38" s="30" t="str">
        <f t="shared" si="3"/>
        <v>Lifetime Savings</v>
      </c>
    </row>
    <row r="39" spans="1:7">
      <c r="A39" s="14">
        <v>23</v>
      </c>
      <c r="B39" s="15">
        <f t="shared" si="0"/>
        <v>-16986.882523523382</v>
      </c>
      <c r="C39" s="38">
        <f t="shared" si="2"/>
        <v>0.17005776378534676</v>
      </c>
      <c r="D39" s="16">
        <f>C39*E13</f>
        <v>1041.3045015209866</v>
      </c>
      <c r="E39" s="17">
        <f t="shared" si="1"/>
        <v>-16986.882523523382</v>
      </c>
      <c r="F39" s="30" t="str">
        <f t="shared" si="3"/>
        <v>Lifetime Savings</v>
      </c>
    </row>
    <row r="40" spans="1:7">
      <c r="A40" s="14">
        <v>24</v>
      </c>
      <c r="B40" s="15">
        <f t="shared" si="0"/>
        <v>-18049.186573993848</v>
      </c>
      <c r="C40" s="38">
        <f t="shared" si="2"/>
        <v>0.17345891906105371</v>
      </c>
      <c r="D40" s="16">
        <f>C40*E13</f>
        <v>1062.1305915514065</v>
      </c>
      <c r="E40" s="17">
        <f t="shared" si="1"/>
        <v>-18049.186573993848</v>
      </c>
      <c r="F40" s="30" t="str">
        <f t="shared" si="3"/>
        <v>Lifetime Savings</v>
      </c>
    </row>
    <row r="41" spans="1:7">
      <c r="A41" s="14">
        <v>25</v>
      </c>
      <c r="B41" s="15">
        <f t="shared" si="0"/>
        <v>-19132.736705473726</v>
      </c>
      <c r="C41" s="38">
        <f t="shared" si="2"/>
        <v>0.17692809744227478</v>
      </c>
      <c r="D41" s="16">
        <f>C41*E13</f>
        <v>1083.3732033824347</v>
      </c>
      <c r="E41" s="17">
        <f t="shared" si="1"/>
        <v>-19132.736705473726</v>
      </c>
      <c r="F41" s="30" t="str">
        <f t="shared" si="3"/>
        <v>Lifetime Savings</v>
      </c>
    </row>
    <row r="42" spans="1:7">
      <c r="A42" s="5"/>
      <c r="B42" s="5"/>
      <c r="D42" s="32" t="s">
        <v>13</v>
      </c>
      <c r="E42" s="31">
        <f>SUM(D17:D41)-F8</f>
        <v>19129.213372504164</v>
      </c>
      <c r="F42" s="19"/>
    </row>
    <row r="43" spans="1:7">
      <c r="A43" s="18"/>
      <c r="B43" s="18"/>
      <c r="C43" s="18"/>
      <c r="D43" s="18"/>
      <c r="E43" s="18"/>
      <c r="F43" s="18"/>
    </row>
    <row r="44" spans="1:7" ht="14.5">
      <c r="A44" s="10"/>
      <c r="B44" s="10"/>
      <c r="C44" s="10"/>
      <c r="D44" s="10"/>
      <c r="E44" s="10"/>
      <c r="F44" s="10"/>
      <c r="G44" s="2"/>
    </row>
    <row r="45" spans="1:7" ht="0.75" customHeight="1">
      <c r="A45" s="10"/>
      <c r="B45" s="10"/>
      <c r="C45" s="10"/>
      <c r="D45" s="10"/>
      <c r="E45" s="10"/>
      <c r="F45" s="10"/>
    </row>
  </sheetData>
  <mergeCells count="7">
    <mergeCell ref="C10:F10"/>
    <mergeCell ref="A3:C3"/>
    <mergeCell ref="E3:F3"/>
    <mergeCell ref="A4:B4"/>
    <mergeCell ref="A5:B5"/>
    <mergeCell ref="A6:B6"/>
    <mergeCell ref="A8:E8"/>
  </mergeCells>
  <conditionalFormatting sqref="E17:E41">
    <cfRule type="cellIs" dxfId="95" priority="6" operator="lessThan">
      <formula>0</formula>
    </cfRule>
    <cfRule type="cellIs" dxfId="94" priority="7" operator="greaterThan">
      <formula>0</formula>
    </cfRule>
  </conditionalFormatting>
  <conditionalFormatting sqref="B16:B41">
    <cfRule type="cellIs" dxfId="93" priority="4" operator="lessThan">
      <formula>0</formula>
    </cfRule>
    <cfRule type="cellIs" dxfId="92" priority="5" operator="greaterThan">
      <formula>0</formula>
    </cfRule>
  </conditionalFormatting>
  <conditionalFormatting sqref="F17:F41">
    <cfRule type="containsText" dxfId="91" priority="1" operator="containsText" text="Lifetime Savings">
      <formula>NOT(ISERROR(SEARCH("Lifetime Savings",F17)))</formula>
    </cfRule>
    <cfRule type="containsText" dxfId="90" priority="2" operator="containsText" text="Lifetime Savngs">
      <formula>NOT(ISERROR(SEARCH("Lifetime Savngs",F17)))</formula>
    </cfRule>
    <cfRule type="containsText" dxfId="89" priority="3" operator="containsText" text="Payback Period">
      <formula>NOT(ISERROR(SEARCH("Payback Period",F17)))</formula>
    </cfRule>
  </conditionalFormatting>
  <pageMargins left="0.7" right="0.7" top="1.8020833333333333" bottom="0.89583333333333337" header="0.3" footer="0.3"/>
  <pageSetup paperSize="9" orientation="portrait" verticalDpi="1200" r:id="rId1"/>
  <headerFooter>
    <oddHeader>&amp;C&amp;G</oddHeader>
    <oddFooter>&amp;C&amp;"-,Bold"&amp;K03+000Telephone:&amp;"-,Regular" 0113 271 7588 
&amp;"-,Bold"Email:&amp;"-,Regular" info@wilsonpowersolutions.co.uk 
&amp;"-,Bold"Address:&amp;"-,Regular" Westland Works, Westland Square, Leeds, LS11 5SS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7"/>
  <sheetViews>
    <sheetView showWhiteSpace="0" view="pageLayout" topLeftCell="A19" zoomScaleNormal="100" workbookViewId="0">
      <selection activeCell="D3" sqref="D3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5.453125" style="4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69">
        <v>1600</v>
      </c>
      <c r="C1" s="10"/>
      <c r="D1" s="10"/>
      <c r="E1" s="106" t="s">
        <v>58</v>
      </c>
      <c r="F1" s="107" t="s">
        <v>57</v>
      </c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tr">
        <f>VLOOKUP(F1,Data!C18:E28,2,FALSE)</f>
        <v>Wilson e1 ECO CRGO Tier 1</v>
      </c>
      <c r="B3" s="128"/>
      <c r="C3" s="128"/>
      <c r="D3" s="5"/>
      <c r="E3" s="128" t="s">
        <v>19</v>
      </c>
      <c r="F3" s="128"/>
      <c r="G3" s="3"/>
    </row>
    <row r="4" spans="1:7">
      <c r="A4" s="129" t="s">
        <v>0</v>
      </c>
      <c r="B4" s="129"/>
      <c r="C4" s="58">
        <f>VLOOKUP(B1,Costing,2,FALSE)</f>
        <v>18155</v>
      </c>
      <c r="D4" s="6"/>
      <c r="E4" s="8" t="s">
        <v>3</v>
      </c>
      <c r="F4" s="58">
        <f>VLOOKUP(B1,Costing,3,FALSE)</f>
        <v>23155</v>
      </c>
      <c r="G4" s="3"/>
    </row>
    <row r="5" spans="1:7" ht="14.25" customHeight="1">
      <c r="A5" s="129" t="s">
        <v>1</v>
      </c>
      <c r="B5" s="129"/>
      <c r="C5" s="59">
        <f>IF(F1=Data!C24,VLOOKUP(B1,Losses_Chart,13,FALSE),IF(F1=Data!C25,VLOOKUP(B1,Losses_Chart,15,FALSE),"NOT FOUND"))</f>
        <v>1200</v>
      </c>
      <c r="D5" s="5"/>
      <c r="E5" s="8" t="s">
        <v>4</v>
      </c>
      <c r="F5" s="59">
        <f>VLOOKUP(B1,Losses_Chart,5,FALSE)</f>
        <v>630</v>
      </c>
      <c r="G5" s="3"/>
    </row>
    <row r="6" spans="1:7">
      <c r="A6" s="129" t="s">
        <v>2</v>
      </c>
      <c r="B6" s="129"/>
      <c r="C6" s="59">
        <f>IF(F1=Data!C24,VLOOKUP(B1,Losses_Chart,12,FALSE),IF(F1=Data!C25,VLOOKUP(B1,Losses_Chart,14,FALSE),"NOT FOUND"))</f>
        <v>14000</v>
      </c>
      <c r="D6" s="5"/>
      <c r="E6" s="8" t="s">
        <v>2</v>
      </c>
      <c r="F6" s="59">
        <f>VLOOKUP(B1,Losses_Chart,4,FALSE)</f>
        <v>12000</v>
      </c>
      <c r="G6" s="3"/>
    </row>
    <row r="7" spans="1:7" ht="7.5" customHeight="1">
      <c r="A7" s="77"/>
      <c r="B7" s="77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57">
        <f>IFERROR((F4-C4),"Price Req'd")</f>
        <v>5000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2.5" customHeight="1">
      <c r="A10" s="133" t="s">
        <v>41</v>
      </c>
      <c r="B10" s="134"/>
      <c r="C10" s="127" t="s">
        <v>8</v>
      </c>
      <c r="D10" s="127"/>
      <c r="E10" s="127"/>
      <c r="F10" s="127"/>
    </row>
    <row r="11" spans="1:7" ht="22.5" customHeight="1">
      <c r="A11" s="135"/>
      <c r="B11" s="136"/>
      <c r="C11" s="131" t="s">
        <v>23</v>
      </c>
      <c r="D11" s="23" t="s">
        <v>25</v>
      </c>
      <c r="E11" s="131" t="s">
        <v>26</v>
      </c>
      <c r="F11" s="23" t="s">
        <v>7</v>
      </c>
    </row>
    <row r="12" spans="1:7" ht="21">
      <c r="A12" s="56" t="s">
        <v>5</v>
      </c>
      <c r="B12" s="56" t="s">
        <v>6</v>
      </c>
      <c r="C12" s="132"/>
      <c r="D12" s="25">
        <v>70</v>
      </c>
      <c r="E12" s="132"/>
      <c r="F12" s="14" t="s">
        <v>59</v>
      </c>
    </row>
    <row r="13" spans="1:7">
      <c r="A13" s="26">
        <f>C5-F5</f>
        <v>570</v>
      </c>
      <c r="B13" s="14">
        <f>C6-F6</f>
        <v>2000</v>
      </c>
      <c r="C13" s="16">
        <f>A13*24*365/1000</f>
        <v>4993.2</v>
      </c>
      <c r="D13" s="14">
        <f>(B13*24*365*((D12*D12)/10000/1000))</f>
        <v>8584.7999999999993</v>
      </c>
      <c r="E13" s="27">
        <f>D13+C13</f>
        <v>13578</v>
      </c>
      <c r="F13" s="28">
        <f>E13*0.000283</f>
        <v>3.8425739999999999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27">
      <c r="A15" s="55" t="s">
        <v>10</v>
      </c>
      <c r="B15" s="55" t="s">
        <v>27</v>
      </c>
      <c r="C15" s="55" t="s">
        <v>28</v>
      </c>
      <c r="D15" s="55" t="s">
        <v>29</v>
      </c>
      <c r="E15" s="55" t="s">
        <v>12</v>
      </c>
      <c r="F15" s="55" t="s">
        <v>11</v>
      </c>
    </row>
    <row r="16" spans="1:7" ht="13.4" customHeight="1">
      <c r="A16" s="14">
        <v>0</v>
      </c>
      <c r="B16" s="15">
        <f>F8</f>
        <v>5000</v>
      </c>
      <c r="C16" s="38"/>
      <c r="D16" s="14"/>
      <c r="E16" s="14"/>
      <c r="F16" s="14"/>
    </row>
    <row r="17" spans="1:6" ht="13.4" customHeight="1">
      <c r="A17" s="14">
        <v>1</v>
      </c>
      <c r="B17" s="15">
        <f>E17</f>
        <v>3506.3100000000004</v>
      </c>
      <c r="C17" s="39">
        <v>0.11</v>
      </c>
      <c r="D17" s="16">
        <f>C17*E13</f>
        <v>1493.58</v>
      </c>
      <c r="E17" s="61">
        <f>B16-C17-D17</f>
        <v>3506.3100000000004</v>
      </c>
      <c r="F17" s="30" t="str">
        <f>IF(E17&gt;0,"Payback Period","Lifetime Savings")</f>
        <v>Payback Period</v>
      </c>
    </row>
    <row r="18" spans="1:6" s="48" customFormat="1" ht="13.4" customHeight="1">
      <c r="A18" s="14">
        <v>2</v>
      </c>
      <c r="B18" s="15">
        <f t="shared" ref="B18:B46" si="0">E18</f>
        <v>1982.7462000000005</v>
      </c>
      <c r="C18" s="38">
        <f>C17+(C17*2%)</f>
        <v>0.11219999999999999</v>
      </c>
      <c r="D18" s="16">
        <f>C18*E13</f>
        <v>1523.4515999999999</v>
      </c>
      <c r="E18" s="61">
        <f t="shared" ref="E18:E46" si="1">B17-C18-D18</f>
        <v>1982.7462000000005</v>
      </c>
      <c r="F18" s="30" t="str">
        <f>IF(E18&gt;0,"Payback Period","Lifetime Savings")</f>
        <v>Payback Period</v>
      </c>
    </row>
    <row r="19" spans="1:6" s="48" customFormat="1" ht="13.4" customHeight="1">
      <c r="A19" s="14">
        <v>3</v>
      </c>
      <c r="B19" s="15">
        <f t="shared" si="0"/>
        <v>428.71112400000061</v>
      </c>
      <c r="C19" s="38">
        <f t="shared" ref="C19:C46" si="2">C18+(C18*2%)</f>
        <v>0.11444399999999999</v>
      </c>
      <c r="D19" s="16">
        <f>C19*E13</f>
        <v>1553.9206319999998</v>
      </c>
      <c r="E19" s="61">
        <f t="shared" si="1"/>
        <v>428.71112400000061</v>
      </c>
      <c r="F19" s="30" t="str">
        <f t="shared" ref="F19:F46" si="3">IF(E19&gt;0,"Payback Period","Lifetime Savings")</f>
        <v>Payback Period</v>
      </c>
    </row>
    <row r="20" spans="1:6" s="48" customFormat="1" ht="13.4" customHeight="1">
      <c r="A20" s="14">
        <v>4</v>
      </c>
      <c r="B20" s="15">
        <f t="shared" si="0"/>
        <v>-1156.4046535199991</v>
      </c>
      <c r="C20" s="38">
        <f t="shared" si="2"/>
        <v>0.11673287999999998</v>
      </c>
      <c r="D20" s="16">
        <f>C20*E13</f>
        <v>1584.9990446399997</v>
      </c>
      <c r="E20" s="61">
        <f t="shared" si="1"/>
        <v>-1156.4046535199991</v>
      </c>
      <c r="F20" s="30" t="str">
        <f t="shared" si="3"/>
        <v>Lifetime Savings</v>
      </c>
    </row>
    <row r="21" spans="1:6" s="48" customFormat="1" ht="13.4" customHeight="1">
      <c r="A21" s="14">
        <v>5</v>
      </c>
      <c r="B21" s="15">
        <f t="shared" si="0"/>
        <v>-2773.2227465903989</v>
      </c>
      <c r="C21" s="38">
        <f t="shared" si="2"/>
        <v>0.11906753759999998</v>
      </c>
      <c r="D21" s="16">
        <f>C21*E13</f>
        <v>1616.6990255327999</v>
      </c>
      <c r="E21" s="61">
        <f t="shared" si="1"/>
        <v>-2773.2227465903989</v>
      </c>
      <c r="F21" s="30" t="str">
        <f t="shared" si="3"/>
        <v>Lifetime Savings</v>
      </c>
    </row>
    <row r="22" spans="1:6" s="48" customFormat="1" ht="13.4" customHeight="1">
      <c r="A22" s="14">
        <v>6</v>
      </c>
      <c r="B22" s="15">
        <f t="shared" si="0"/>
        <v>-4422.3772015222066</v>
      </c>
      <c r="C22" s="38">
        <f t="shared" si="2"/>
        <v>0.12144888835199998</v>
      </c>
      <c r="D22" s="16">
        <f>C22*E13</f>
        <v>1649.0330060434558</v>
      </c>
      <c r="E22" s="61">
        <f t="shared" si="1"/>
        <v>-4422.3772015222066</v>
      </c>
      <c r="F22" s="30" t="str">
        <f t="shared" si="3"/>
        <v>Lifetime Savings</v>
      </c>
    </row>
    <row r="23" spans="1:6" s="48" customFormat="1" ht="13.4" customHeight="1">
      <c r="A23" s="14">
        <v>7</v>
      </c>
      <c r="B23" s="15">
        <f t="shared" si="0"/>
        <v>-6104.5147455526503</v>
      </c>
      <c r="C23" s="38">
        <f t="shared" si="2"/>
        <v>0.12387786611903998</v>
      </c>
      <c r="D23" s="16">
        <f>C23*E13</f>
        <v>1682.0136661643248</v>
      </c>
      <c r="E23" s="61">
        <f t="shared" si="1"/>
        <v>-6104.5147455526503</v>
      </c>
      <c r="F23" s="30" t="str">
        <f t="shared" si="3"/>
        <v>Lifetime Savings</v>
      </c>
    </row>
    <row r="24" spans="1:6" s="48" customFormat="1" ht="13.4" customHeight="1">
      <c r="A24" s="14">
        <v>8</v>
      </c>
      <c r="B24" s="15">
        <f t="shared" si="0"/>
        <v>-7820.2950404637031</v>
      </c>
      <c r="C24" s="38">
        <f t="shared" si="2"/>
        <v>0.12635542344142078</v>
      </c>
      <c r="D24" s="16">
        <f>C24*E13</f>
        <v>1715.6539394876113</v>
      </c>
      <c r="E24" s="61">
        <f t="shared" si="1"/>
        <v>-7820.2950404637031</v>
      </c>
      <c r="F24" s="30" t="str">
        <f t="shared" si="3"/>
        <v>Lifetime Savings</v>
      </c>
    </row>
    <row r="25" spans="1:6" s="48" customFormat="1" ht="13.4" customHeight="1">
      <c r="A25" s="14">
        <v>9</v>
      </c>
      <c r="B25" s="15">
        <f t="shared" si="0"/>
        <v>-9570.3909412729772</v>
      </c>
      <c r="C25" s="38">
        <f t="shared" si="2"/>
        <v>0.1288825319102492</v>
      </c>
      <c r="D25" s="16">
        <f>C25*E13</f>
        <v>1749.9670182773636</v>
      </c>
      <c r="E25" s="61">
        <f t="shared" si="1"/>
        <v>-9570.3909412729772</v>
      </c>
      <c r="F25" s="30" t="str">
        <f t="shared" si="3"/>
        <v>Lifetime Savings</v>
      </c>
    </row>
    <row r="26" spans="1:6" s="48" customFormat="1" ht="13.4" customHeight="1">
      <c r="A26" s="14">
        <v>10</v>
      </c>
      <c r="B26" s="15">
        <f t="shared" si="0"/>
        <v>-11355.488760098437</v>
      </c>
      <c r="C26" s="38">
        <f t="shared" si="2"/>
        <v>0.13146018254845418</v>
      </c>
      <c r="D26" s="16">
        <f>C26*E13</f>
        <v>1784.9663586429108</v>
      </c>
      <c r="E26" s="61">
        <f t="shared" si="1"/>
        <v>-11355.488760098437</v>
      </c>
      <c r="F26" s="30" t="str">
        <f t="shared" si="3"/>
        <v>Lifetime Savings</v>
      </c>
    </row>
    <row r="27" spans="1:6" s="48" customFormat="1" ht="13.4" customHeight="1">
      <c r="A27" s="14">
        <v>11</v>
      </c>
      <c r="B27" s="15">
        <f t="shared" si="0"/>
        <v>-13176.288535300406</v>
      </c>
      <c r="C27" s="38">
        <f t="shared" si="2"/>
        <v>0.13408938619942326</v>
      </c>
      <c r="D27" s="16">
        <f>C27*E13</f>
        <v>1820.6656858157689</v>
      </c>
      <c r="E27" s="61">
        <f t="shared" si="1"/>
        <v>-13176.288535300406</v>
      </c>
      <c r="F27" s="30" t="str">
        <f t="shared" si="3"/>
        <v>Lifetime Savings</v>
      </c>
    </row>
    <row r="28" spans="1:6" s="48" customFormat="1" ht="13.4" customHeight="1">
      <c r="A28" s="14">
        <v>12</v>
      </c>
      <c r="B28" s="15">
        <f t="shared" si="0"/>
        <v>-15033.504306006414</v>
      </c>
      <c r="C28" s="38">
        <f t="shared" si="2"/>
        <v>0.13677117392341173</v>
      </c>
      <c r="D28" s="16">
        <f>C28*E13</f>
        <v>1857.0789995320845</v>
      </c>
      <c r="E28" s="61">
        <f t="shared" si="1"/>
        <v>-15033.504306006414</v>
      </c>
      <c r="F28" s="30" t="str">
        <f t="shared" si="3"/>
        <v>Lifetime Savings</v>
      </c>
    </row>
    <row r="29" spans="1:6" s="48" customFormat="1" ht="13.4" customHeight="1">
      <c r="A29" s="14">
        <v>13</v>
      </c>
      <c r="B29" s="15">
        <f t="shared" si="0"/>
        <v>-16927.864392126543</v>
      </c>
      <c r="C29" s="38">
        <f t="shared" si="2"/>
        <v>0.13950659740187996</v>
      </c>
      <c r="D29" s="16">
        <f>C29*E13</f>
        <v>1894.220579522726</v>
      </c>
      <c r="E29" s="61">
        <f t="shared" si="1"/>
        <v>-16927.864392126543</v>
      </c>
      <c r="F29" s="30" t="str">
        <f t="shared" si="3"/>
        <v>Lifetime Savings</v>
      </c>
    </row>
    <row r="30" spans="1:6" s="48" customFormat="1" ht="13.4" customHeight="1">
      <c r="A30" s="14">
        <v>14</v>
      </c>
      <c r="B30" s="15">
        <f t="shared" si="0"/>
        <v>-18860.111679969075</v>
      </c>
      <c r="C30" s="38">
        <f t="shared" si="2"/>
        <v>0.14229672934991755</v>
      </c>
      <c r="D30" s="16">
        <f>C30*E13</f>
        <v>1932.1049911131804</v>
      </c>
      <c r="E30" s="61">
        <f t="shared" si="1"/>
        <v>-18860.111679969075</v>
      </c>
      <c r="F30" s="30" t="str">
        <f t="shared" si="3"/>
        <v>Lifetime Savings</v>
      </c>
    </row>
    <row r="31" spans="1:6" s="48" customFormat="1" ht="13.4" customHeight="1">
      <c r="A31" s="14">
        <v>15</v>
      </c>
      <c r="B31" s="15">
        <f t="shared" si="0"/>
        <v>-20831.003913568456</v>
      </c>
      <c r="C31" s="38">
        <f t="shared" si="2"/>
        <v>0.14514266393691591</v>
      </c>
      <c r="D31" s="16">
        <f>C31*E13</f>
        <v>1970.7470909354442</v>
      </c>
      <c r="E31" s="61">
        <f t="shared" si="1"/>
        <v>-20831.003913568456</v>
      </c>
      <c r="F31" s="30" t="str">
        <f t="shared" si="3"/>
        <v>Lifetime Savings</v>
      </c>
    </row>
    <row r="32" spans="1:6" s="48" customFormat="1" ht="13.4" customHeight="1">
      <c r="A32" s="14">
        <v>16</v>
      </c>
      <c r="B32" s="15">
        <f t="shared" si="0"/>
        <v>-22841.313991839826</v>
      </c>
      <c r="C32" s="38">
        <f t="shared" si="2"/>
        <v>0.14804551721565423</v>
      </c>
      <c r="D32" s="16">
        <f>C32*E13</f>
        <v>2010.1620327541532</v>
      </c>
      <c r="E32" s="61">
        <f t="shared" si="1"/>
        <v>-22841.313991839826</v>
      </c>
      <c r="F32" s="30" t="str">
        <f t="shared" si="3"/>
        <v>Lifetime Savings</v>
      </c>
    </row>
    <row r="33" spans="1:7" s="48" customFormat="1" ht="13.4" customHeight="1">
      <c r="A33" s="14">
        <v>17</v>
      </c>
      <c r="B33" s="15">
        <f t="shared" si="0"/>
        <v>-24891.830271676623</v>
      </c>
      <c r="C33" s="38">
        <f t="shared" si="2"/>
        <v>0.15100642755996732</v>
      </c>
      <c r="D33" s="16">
        <f>C33*E13</f>
        <v>2050.3652734092361</v>
      </c>
      <c r="E33" s="61">
        <f t="shared" si="1"/>
        <v>-24891.830271676623</v>
      </c>
      <c r="F33" s="30" t="str">
        <f t="shared" si="3"/>
        <v>Lifetime Savings</v>
      </c>
    </row>
    <row r="34" spans="1:7" s="48" customFormat="1" ht="13.4" customHeight="1">
      <c r="A34" s="14">
        <v>18</v>
      </c>
      <c r="B34" s="15">
        <f t="shared" si="0"/>
        <v>-26983.356877110156</v>
      </c>
      <c r="C34" s="38">
        <f t="shared" si="2"/>
        <v>0.15402655611116667</v>
      </c>
      <c r="D34" s="16">
        <f>C34*E13</f>
        <v>2091.3725788774209</v>
      </c>
      <c r="E34" s="61">
        <f t="shared" si="1"/>
        <v>-26983.356877110156</v>
      </c>
      <c r="F34" s="30" t="str">
        <f t="shared" si="3"/>
        <v>Lifetime Savings</v>
      </c>
    </row>
    <row r="35" spans="1:7" s="48" customFormat="1" ht="13.4" customHeight="1">
      <c r="A35" s="14">
        <v>19</v>
      </c>
      <c r="B35" s="15">
        <f t="shared" si="0"/>
        <v>-29116.71401465236</v>
      </c>
      <c r="C35" s="38">
        <f t="shared" si="2"/>
        <v>0.15710708723339001</v>
      </c>
      <c r="D35" s="16">
        <f>C35*E13</f>
        <v>2133.2000304549697</v>
      </c>
      <c r="E35" s="61">
        <f t="shared" si="1"/>
        <v>-29116.71401465236</v>
      </c>
      <c r="F35" s="30" t="str">
        <f t="shared" si="3"/>
        <v>Lifetime Savings</v>
      </c>
    </row>
    <row r="36" spans="1:7" s="48" customFormat="1" ht="13.4" customHeight="1">
      <c r="A36" s="14">
        <v>20</v>
      </c>
      <c r="B36" s="15">
        <f t="shared" si="0"/>
        <v>-31292.738294945408</v>
      </c>
      <c r="C36" s="38">
        <f t="shared" si="2"/>
        <v>0.16024922897805779</v>
      </c>
      <c r="D36" s="16">
        <f>C36*E13</f>
        <v>2175.8640310640685</v>
      </c>
      <c r="E36" s="61">
        <f t="shared" si="1"/>
        <v>-31292.738294945408</v>
      </c>
      <c r="F36" s="30" t="str">
        <f t="shared" si="3"/>
        <v>Lifetime Savings</v>
      </c>
    </row>
    <row r="37" spans="1:7" s="48" customFormat="1" ht="13.4" customHeight="1">
      <c r="A37" s="14">
        <v>21</v>
      </c>
      <c r="B37" s="15">
        <f t="shared" si="0"/>
        <v>-33512.283060844318</v>
      </c>
      <c r="C37" s="38">
        <f t="shared" si="2"/>
        <v>0.16345421355761894</v>
      </c>
      <c r="D37" s="16">
        <f>C37*E13</f>
        <v>2219.3813116853498</v>
      </c>
      <c r="E37" s="61">
        <f t="shared" si="1"/>
        <v>-33512.283060844318</v>
      </c>
      <c r="F37" s="30" t="str">
        <f t="shared" si="3"/>
        <v>Lifetime Savings</v>
      </c>
    </row>
    <row r="38" spans="1:7" s="48" customFormat="1" ht="13.4" customHeight="1">
      <c r="A38" s="14">
        <v>22</v>
      </c>
      <c r="B38" s="15">
        <f t="shared" si="0"/>
        <v>-35776.218722061203</v>
      </c>
      <c r="C38" s="38">
        <f t="shared" si="2"/>
        <v>0.16672329782877132</v>
      </c>
      <c r="D38" s="16">
        <f>C38*E13</f>
        <v>2263.768937919057</v>
      </c>
      <c r="E38" s="61">
        <f t="shared" si="1"/>
        <v>-35776.218722061203</v>
      </c>
      <c r="F38" s="30" t="str">
        <f t="shared" si="3"/>
        <v>Lifetime Savings</v>
      </c>
    </row>
    <row r="39" spans="1:7" s="48" customFormat="1" ht="13.4" customHeight="1">
      <c r="A39" s="14">
        <v>23</v>
      </c>
      <c r="B39" s="15">
        <f t="shared" si="0"/>
        <v>-38085.433096502427</v>
      </c>
      <c r="C39" s="38">
        <f t="shared" si="2"/>
        <v>0.17005776378534676</v>
      </c>
      <c r="D39" s="16">
        <f>C39*E13</f>
        <v>2309.0443166774385</v>
      </c>
      <c r="E39" s="61">
        <f t="shared" si="1"/>
        <v>-38085.433096502427</v>
      </c>
      <c r="F39" s="30" t="str">
        <f t="shared" si="3"/>
        <v>Lifetime Savings</v>
      </c>
    </row>
    <row r="40" spans="1:7" s="48" customFormat="1" ht="13.4" customHeight="1">
      <c r="A40" s="14">
        <v>24</v>
      </c>
      <c r="B40" s="15">
        <f t="shared" si="0"/>
        <v>-40440.831758432476</v>
      </c>
      <c r="C40" s="38">
        <f t="shared" si="2"/>
        <v>0.17345891906105371</v>
      </c>
      <c r="D40" s="16">
        <f>C40*E13</f>
        <v>2355.2252030109871</v>
      </c>
      <c r="E40" s="61">
        <f t="shared" si="1"/>
        <v>-40440.831758432476</v>
      </c>
      <c r="F40" s="30" t="str">
        <f t="shared" si="3"/>
        <v>Lifetime Savings</v>
      </c>
    </row>
    <row r="41" spans="1:7" s="48" customFormat="1" ht="13.4" customHeight="1">
      <c r="A41" s="14">
        <v>25</v>
      </c>
      <c r="B41" s="15">
        <f t="shared" si="0"/>
        <v>-42843.338393601123</v>
      </c>
      <c r="C41" s="38">
        <f t="shared" si="2"/>
        <v>0.17692809744227478</v>
      </c>
      <c r="D41" s="16">
        <f>C41*$E$13</f>
        <v>2402.3297070712069</v>
      </c>
      <c r="E41" s="61">
        <f t="shared" si="1"/>
        <v>-42843.338393601123</v>
      </c>
      <c r="F41" s="30" t="str">
        <f t="shared" si="3"/>
        <v>Lifetime Savings</v>
      </c>
    </row>
    <row r="42" spans="1:7" ht="13.4" customHeight="1">
      <c r="A42" s="14">
        <v>26</v>
      </c>
      <c r="B42" s="15">
        <f t="shared" si="0"/>
        <v>-45293.895161473141</v>
      </c>
      <c r="C42" s="38">
        <f t="shared" si="2"/>
        <v>0.18046665939112028</v>
      </c>
      <c r="D42" s="16">
        <f t="shared" ref="D42:D46" si="4">C42*$E$13</f>
        <v>2450.376301212631</v>
      </c>
      <c r="E42" s="61">
        <f t="shared" si="1"/>
        <v>-45293.895161473141</v>
      </c>
      <c r="F42" s="30" t="str">
        <f t="shared" si="3"/>
        <v>Lifetime Savings</v>
      </c>
    </row>
    <row r="43" spans="1:7" ht="13.4" customHeight="1">
      <c r="A43" s="14">
        <v>27</v>
      </c>
      <c r="B43" s="15">
        <f t="shared" si="0"/>
        <v>-47793.463064702599</v>
      </c>
      <c r="C43" s="38">
        <f t="shared" si="2"/>
        <v>0.18407599257894269</v>
      </c>
      <c r="D43" s="16">
        <f t="shared" si="4"/>
        <v>2499.3838272368839</v>
      </c>
      <c r="E43" s="61">
        <f t="shared" si="1"/>
        <v>-47793.463064702599</v>
      </c>
      <c r="F43" s="30" t="str">
        <f t="shared" si="3"/>
        <v>Lifetime Savings</v>
      </c>
    </row>
    <row r="44" spans="1:7" ht="13.4" customHeight="1">
      <c r="A44" s="14">
        <v>28</v>
      </c>
      <c r="B44" s="15">
        <f t="shared" si="0"/>
        <v>-50343.022325996651</v>
      </c>
      <c r="C44" s="38">
        <f t="shared" si="2"/>
        <v>0.18775751243052155</v>
      </c>
      <c r="D44" s="16">
        <f t="shared" si="4"/>
        <v>2549.3715037816214</v>
      </c>
      <c r="E44" s="61">
        <f t="shared" si="1"/>
        <v>-50343.022325996651</v>
      </c>
      <c r="F44" s="30" t="str">
        <f t="shared" si="3"/>
        <v>Lifetime Savings</v>
      </c>
      <c r="G44" s="2"/>
    </row>
    <row r="45" spans="1:7" ht="13.4" customHeight="1">
      <c r="A45" s="14">
        <v>29</v>
      </c>
      <c r="B45" s="15">
        <f t="shared" si="0"/>
        <v>-52943.572772516585</v>
      </c>
      <c r="C45" s="38">
        <f t="shared" si="2"/>
        <v>0.19151266267913197</v>
      </c>
      <c r="D45" s="16">
        <f t="shared" si="4"/>
        <v>2600.3589338572538</v>
      </c>
      <c r="E45" s="61">
        <f t="shared" si="1"/>
        <v>-52943.572772516585</v>
      </c>
      <c r="F45" s="30" t="str">
        <f t="shared" si="3"/>
        <v>Lifetime Savings</v>
      </c>
    </row>
    <row r="46" spans="1:7" ht="13.4" customHeight="1">
      <c r="A46" s="14">
        <v>30</v>
      </c>
      <c r="B46" s="15">
        <f t="shared" si="0"/>
        <v>-55596.134227966919</v>
      </c>
      <c r="C46" s="38">
        <f t="shared" si="2"/>
        <v>0.19534291593271461</v>
      </c>
      <c r="D46" s="49">
        <f t="shared" si="4"/>
        <v>2652.3661125343988</v>
      </c>
      <c r="E46" s="62">
        <f t="shared" si="1"/>
        <v>-55596.134227966919</v>
      </c>
      <c r="F46" s="30" t="str">
        <f t="shared" si="3"/>
        <v>Lifetime Savings</v>
      </c>
    </row>
    <row r="47" spans="1:7">
      <c r="D47" s="32" t="s">
        <v>13</v>
      </c>
      <c r="E47" s="60">
        <f>SUM(D17:D46)-F8</f>
        <v>55591.671739254351</v>
      </c>
    </row>
  </sheetData>
  <mergeCells count="10">
    <mergeCell ref="A10:B11"/>
    <mergeCell ref="C10:F10"/>
    <mergeCell ref="C11:C12"/>
    <mergeCell ref="E11:E12"/>
    <mergeCell ref="A3:C3"/>
    <mergeCell ref="E3:F3"/>
    <mergeCell ref="A4:B4"/>
    <mergeCell ref="A5:B5"/>
    <mergeCell ref="A6:B6"/>
    <mergeCell ref="A8:E8"/>
  </mergeCells>
  <conditionalFormatting sqref="E17:E46">
    <cfRule type="cellIs" dxfId="29" priority="9" operator="lessThan">
      <formula>0</formula>
    </cfRule>
    <cfRule type="cellIs" dxfId="28" priority="10" operator="greaterThan">
      <formula>0</formula>
    </cfRule>
  </conditionalFormatting>
  <conditionalFormatting sqref="B16:B46">
    <cfRule type="cellIs" dxfId="27" priority="7" operator="lessThan">
      <formula>0</formula>
    </cfRule>
    <cfRule type="cellIs" dxfId="26" priority="8" operator="greaterThan">
      <formula>0</formula>
    </cfRule>
  </conditionalFormatting>
  <conditionalFormatting sqref="F17:F46">
    <cfRule type="containsText" dxfId="25" priority="4" operator="containsText" text="Lifetime Savings">
      <formula>NOT(ISERROR(SEARCH("Lifetime Savings",F17)))</formula>
    </cfRule>
    <cfRule type="containsText" dxfId="24" priority="5" operator="containsText" text="Lifetime Savngs">
      <formula>NOT(ISERROR(SEARCH("Lifetime Savngs",F17)))</formula>
    </cfRule>
    <cfRule type="containsText" dxfId="23" priority="6" operator="containsText" text="Payback Period">
      <formula>NOT(ISERROR(SEARCH("Payback Period",F17)))</formula>
    </cfRule>
  </conditionalFormatting>
  <conditionalFormatting sqref="A10:B11">
    <cfRule type="expression" dxfId="22" priority="1">
      <formula>$C$5=0</formula>
    </cfRule>
    <cfRule type="cellIs" dxfId="21" priority="3" operator="greaterThan">
      <formula>0</formula>
    </cfRule>
  </conditionalFormatting>
  <conditionalFormatting sqref="C10:F46 D47:E47 A12:B46">
    <cfRule type="expression" dxfId="20" priority="2">
      <formula>$C$5=0</formula>
    </cfRule>
  </conditionalFormatting>
  <pageMargins left="0.7" right="0.7" top="1.7916666666666667" bottom="0.89583333333333337" header="0.3" footer="0.3"/>
  <pageSetup paperSize="9" orientation="portrait" verticalDpi="1200" r:id="rId1"/>
  <headerFooter>
    <oddHeader>&amp;C&amp;G</oddHeader>
    <oddFooter>&amp;C&amp;"-,Bold"&amp;K03+000Telephone:&amp;"-,Regular" 0113 271 7588 
&amp;"-,Bold"Email:&amp;"-,Regular" info@wilsonpowersolutions.co.uk 
&amp;"-,Bold"Address: &amp;"-,Regular"Westland Works, Westland Square, Leeds, LS11 5SS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Data!$C$5:$C$13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7"/>
  <sheetViews>
    <sheetView tabSelected="1" view="pageLayout" topLeftCell="A28" zoomScaleNormal="100" workbookViewId="0">
      <selection activeCell="F1" sqref="F1:F1048576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5.453125" style="4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69">
        <v>1000</v>
      </c>
      <c r="C1" s="10"/>
      <c r="D1" s="10"/>
      <c r="E1" s="9" t="s">
        <v>51</v>
      </c>
      <c r="F1" s="69" t="s">
        <v>46</v>
      </c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tr">
        <f>VLOOKUP(F1,Data!C18:E23,2,FALSE)</f>
        <v>Standard CRGO Transformer</v>
      </c>
      <c r="B3" s="128"/>
      <c r="C3" s="128"/>
      <c r="D3" s="5"/>
      <c r="E3" s="128" t="s">
        <v>60</v>
      </c>
      <c r="F3" s="128"/>
      <c r="G3" s="3"/>
    </row>
    <row r="4" spans="1:7">
      <c r="A4" s="129" t="s">
        <v>0</v>
      </c>
      <c r="B4" s="129"/>
      <c r="C4" s="58">
        <v>0</v>
      </c>
      <c r="D4" s="6"/>
      <c r="E4" s="8" t="s">
        <v>3</v>
      </c>
      <c r="F4" s="58">
        <f>VLOOKUP(B1,Costing,4,FALSE)</f>
        <v>20750</v>
      </c>
      <c r="G4" s="3"/>
    </row>
    <row r="5" spans="1:7" ht="14.25" customHeight="1">
      <c r="A5" s="129" t="s">
        <v>1</v>
      </c>
      <c r="B5" s="129"/>
      <c r="C5" s="59">
        <f>IF(F1=Data!C19,VLOOKUP(B1,Losses_Chart,3,FALSE),IF(F1=Data!C20,VLOOKUP(B1,Losses_Chart,11,FALSE),IF(F1=Data!C21,VLOOKUP(B1,Losses_Chart,9,FALSE),IF(F1=Data!C22,VLOOKUP(B1,Losses_Chart,7,FALSE),IF(F1=Data!C18,VLOOKUP(B1,Losses_Chart,13,FALSE),"NOT FOUND")))))</f>
        <v>1350</v>
      </c>
      <c r="D5" s="5"/>
      <c r="E5" s="8" t="s">
        <v>4</v>
      </c>
      <c r="F5" s="59">
        <f>VLOOKUP(B1,Losses_Chart,17,FALSE)</f>
        <v>450</v>
      </c>
      <c r="G5" s="3"/>
    </row>
    <row r="6" spans="1:7">
      <c r="A6" s="129" t="s">
        <v>2</v>
      </c>
      <c r="B6" s="129"/>
      <c r="C6" s="59">
        <f>IF(F1=Data!C19,VLOOKUP(B1,Losses_Chart,2,FALSE),IF(F1=Data!C20,VLOOKUP(B1,Losses_Chart,10,FALSE),IF(F1=Data!C21,VLOOKUP(B1,Losses_Chart,8,FALSE),IF(F1=Data!C22,VLOOKUP(B1,Losses_Chart,6,FALSE),IF(F1=Data!C18,VLOOKUP(B1,Losses_Chart,12,FALSE),"NOT FOUND")))))</f>
        <v>12500</v>
      </c>
      <c r="D6" s="5"/>
      <c r="E6" s="8" t="s">
        <v>2</v>
      </c>
      <c r="F6" s="59">
        <f>VLOOKUP(B1,Losses_Chart,16,FALSE)</f>
        <v>6840</v>
      </c>
      <c r="G6" s="3"/>
    </row>
    <row r="7" spans="1:7" ht="7.5" customHeight="1">
      <c r="A7" s="114"/>
      <c r="B7" s="114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57">
        <f>IFERROR((F4-C4),"Price Req'd")</f>
        <v>20750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2.5" customHeight="1">
      <c r="A10" s="133" t="s">
        <v>41</v>
      </c>
      <c r="B10" s="134"/>
      <c r="C10" s="127" t="s">
        <v>8</v>
      </c>
      <c r="D10" s="127"/>
      <c r="E10" s="127"/>
      <c r="F10" s="127"/>
    </row>
    <row r="11" spans="1:7" ht="22.5" customHeight="1">
      <c r="A11" s="135"/>
      <c r="B11" s="136"/>
      <c r="C11" s="131" t="s">
        <v>23</v>
      </c>
      <c r="D11" s="23" t="s">
        <v>25</v>
      </c>
      <c r="E11" s="131" t="s">
        <v>26</v>
      </c>
      <c r="F11" s="23" t="s">
        <v>7</v>
      </c>
    </row>
    <row r="12" spans="1:7" ht="21">
      <c r="A12" s="56" t="s">
        <v>5</v>
      </c>
      <c r="B12" s="56" t="s">
        <v>6</v>
      </c>
      <c r="C12" s="132"/>
      <c r="D12" s="25">
        <v>70</v>
      </c>
      <c r="E12" s="132"/>
      <c r="F12" s="14" t="s">
        <v>59</v>
      </c>
    </row>
    <row r="13" spans="1:7">
      <c r="A13" s="26">
        <f>C5-F5</f>
        <v>900</v>
      </c>
      <c r="B13" s="14">
        <f>C6-F6</f>
        <v>5660</v>
      </c>
      <c r="C13" s="16">
        <f>A13*24*365/1000</f>
        <v>7884</v>
      </c>
      <c r="D13" s="14">
        <f>(B13*24*365*((D12*D12)/10000/1000))</f>
        <v>24294.984</v>
      </c>
      <c r="E13" s="27">
        <f>D13+C13</f>
        <v>32178.984</v>
      </c>
      <c r="F13" s="28">
        <f>E13*0.000283</f>
        <v>9.1066524720000004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27">
      <c r="A15" s="55" t="s">
        <v>10</v>
      </c>
      <c r="B15" s="55" t="s">
        <v>27</v>
      </c>
      <c r="C15" s="55" t="s">
        <v>28</v>
      </c>
      <c r="D15" s="55" t="s">
        <v>29</v>
      </c>
      <c r="E15" s="55" t="s">
        <v>12</v>
      </c>
      <c r="F15" s="55" t="s">
        <v>11</v>
      </c>
    </row>
    <row r="16" spans="1:7" ht="13.4" customHeight="1">
      <c r="A16" s="14">
        <v>0</v>
      </c>
      <c r="B16" s="15">
        <f>F8</f>
        <v>20750</v>
      </c>
      <c r="C16" s="38"/>
      <c r="D16" s="14"/>
      <c r="E16" s="14"/>
      <c r="F16" s="14"/>
    </row>
    <row r="17" spans="1:6" ht="13.4" customHeight="1">
      <c r="A17" s="14">
        <v>1</v>
      </c>
      <c r="B17" s="15">
        <f>E17</f>
        <v>17210.20176</v>
      </c>
      <c r="C17" s="39">
        <v>0.11</v>
      </c>
      <c r="D17" s="16">
        <f>C17*E13</f>
        <v>3539.68824</v>
      </c>
      <c r="E17" s="61">
        <f>B16-C17-D17</f>
        <v>17210.20176</v>
      </c>
      <c r="F17" s="30" t="str">
        <f>IF(E17&gt;0,"Payback Period","Lifetime Savings")</f>
        <v>Payback Period</v>
      </c>
    </row>
    <row r="18" spans="1:6" s="48" customFormat="1" ht="13.4" customHeight="1">
      <c r="A18" s="14">
        <v>2</v>
      </c>
      <c r="B18" s="15">
        <f t="shared" ref="B18:B46" si="0">E18</f>
        <v>13599.6075552</v>
      </c>
      <c r="C18" s="38">
        <f>C17+(C17*2%)</f>
        <v>0.11219999999999999</v>
      </c>
      <c r="D18" s="16">
        <f>C18*E13</f>
        <v>3610.4820047999997</v>
      </c>
      <c r="E18" s="61">
        <f t="shared" ref="E18:E46" si="1">B17-C18-D18</f>
        <v>13599.6075552</v>
      </c>
      <c r="F18" s="30" t="str">
        <f>IF(E18&gt;0,"Payback Period","Lifetime Savings")</f>
        <v>Payback Period</v>
      </c>
    </row>
    <row r="19" spans="1:6" s="48" customFormat="1" ht="13.4" customHeight="1">
      <c r="A19" s="14">
        <v>3</v>
      </c>
      <c r="B19" s="15">
        <f t="shared" si="0"/>
        <v>9916.8014663039994</v>
      </c>
      <c r="C19" s="38">
        <f t="shared" ref="C19:C46" si="2">C18+(C18*2%)</f>
        <v>0.11444399999999999</v>
      </c>
      <c r="D19" s="16">
        <f>C19*E13</f>
        <v>3682.6916448959996</v>
      </c>
      <c r="E19" s="61">
        <f t="shared" si="1"/>
        <v>9916.8014663039994</v>
      </c>
      <c r="F19" s="30" t="str">
        <f t="shared" ref="F19:F46" si="3">IF(E19&gt;0,"Payback Period","Lifetime Savings")</f>
        <v>Payback Period</v>
      </c>
    </row>
    <row r="20" spans="1:6" s="48" customFormat="1" ht="13.4" customHeight="1">
      <c r="A20" s="14">
        <v>4</v>
      </c>
      <c r="B20" s="15">
        <f t="shared" si="0"/>
        <v>6160.3392556300796</v>
      </c>
      <c r="C20" s="38">
        <f t="shared" si="2"/>
        <v>0.11673287999999998</v>
      </c>
      <c r="D20" s="16">
        <f>C20*E13</f>
        <v>3756.3454777939196</v>
      </c>
      <c r="E20" s="61">
        <f t="shared" si="1"/>
        <v>6160.3392556300796</v>
      </c>
      <c r="F20" s="30" t="str">
        <f t="shared" si="3"/>
        <v>Payback Period</v>
      </c>
    </row>
    <row r="21" spans="1:6" s="48" customFormat="1" ht="13.4" customHeight="1">
      <c r="A21" s="14">
        <v>5</v>
      </c>
      <c r="B21" s="15">
        <f t="shared" si="0"/>
        <v>2328.7478007426816</v>
      </c>
      <c r="C21" s="38">
        <f t="shared" si="2"/>
        <v>0.11906753759999998</v>
      </c>
      <c r="D21" s="16">
        <f>C21*E13</f>
        <v>3831.4723873497978</v>
      </c>
      <c r="E21" s="61">
        <f t="shared" si="1"/>
        <v>2328.7478007426816</v>
      </c>
      <c r="F21" s="30" t="str">
        <f t="shared" si="3"/>
        <v>Payback Period</v>
      </c>
    </row>
    <row r="22" spans="1:6" s="48" customFormat="1" ht="13.4" customHeight="1">
      <c r="A22" s="14">
        <v>6</v>
      </c>
      <c r="B22" s="15">
        <f t="shared" si="0"/>
        <v>-1579.4754832424642</v>
      </c>
      <c r="C22" s="38">
        <f t="shared" si="2"/>
        <v>0.12144888835199998</v>
      </c>
      <c r="D22" s="16">
        <f>C22*E13</f>
        <v>3908.1018350967938</v>
      </c>
      <c r="E22" s="61">
        <f t="shared" si="1"/>
        <v>-1579.4754832424642</v>
      </c>
      <c r="F22" s="30" t="str">
        <f t="shared" si="3"/>
        <v>Lifetime Savings</v>
      </c>
    </row>
    <row r="23" spans="1:6" s="48" customFormat="1" ht="13.4" customHeight="1">
      <c r="A23" s="14">
        <v>7</v>
      </c>
      <c r="B23" s="15">
        <f t="shared" si="0"/>
        <v>-5565.8632329073134</v>
      </c>
      <c r="C23" s="38">
        <f t="shared" si="2"/>
        <v>0.12387786611903998</v>
      </c>
      <c r="D23" s="16">
        <f>C23*E13</f>
        <v>3986.2638717987297</v>
      </c>
      <c r="E23" s="61">
        <f t="shared" si="1"/>
        <v>-5565.8632329073134</v>
      </c>
      <c r="F23" s="30" t="str">
        <f t="shared" si="3"/>
        <v>Lifetime Savings</v>
      </c>
    </row>
    <row r="24" spans="1:6" s="48" customFormat="1" ht="13.4" customHeight="1">
      <c r="A24" s="14">
        <v>8</v>
      </c>
      <c r="B24" s="15">
        <f t="shared" si="0"/>
        <v>-9631.9787375654596</v>
      </c>
      <c r="C24" s="38">
        <f t="shared" si="2"/>
        <v>0.12635542344142078</v>
      </c>
      <c r="D24" s="16">
        <f>C24*E13</f>
        <v>4065.9891492347042</v>
      </c>
      <c r="E24" s="61">
        <f t="shared" si="1"/>
        <v>-9631.9787375654596</v>
      </c>
      <c r="F24" s="30" t="str">
        <f t="shared" si="3"/>
        <v>Lifetime Savings</v>
      </c>
    </row>
    <row r="25" spans="1:6" s="48" customFormat="1" ht="13.4" customHeight="1">
      <c r="A25" s="14">
        <v>9</v>
      </c>
      <c r="B25" s="15">
        <f t="shared" si="0"/>
        <v>-13779.416552316769</v>
      </c>
      <c r="C25" s="38">
        <f t="shared" si="2"/>
        <v>0.1288825319102492</v>
      </c>
      <c r="D25" s="16">
        <f>C25*E13</f>
        <v>4147.3089322193982</v>
      </c>
      <c r="E25" s="61">
        <f t="shared" si="1"/>
        <v>-13779.416552316769</v>
      </c>
      <c r="F25" s="30" t="str">
        <f t="shared" si="3"/>
        <v>Lifetime Savings</v>
      </c>
    </row>
    <row r="26" spans="1:6" s="48" customFormat="1" ht="13.4" customHeight="1">
      <c r="A26" s="14">
        <v>10</v>
      </c>
      <c r="B26" s="15">
        <f t="shared" si="0"/>
        <v>-18009.803123363105</v>
      </c>
      <c r="C26" s="38">
        <f t="shared" si="2"/>
        <v>0.13146018254845418</v>
      </c>
      <c r="D26" s="16">
        <f>C26*E13</f>
        <v>4230.2551108637863</v>
      </c>
      <c r="E26" s="61">
        <f t="shared" si="1"/>
        <v>-18009.803123363105</v>
      </c>
      <c r="F26" s="30" t="str">
        <f t="shared" si="3"/>
        <v>Lifetime Savings</v>
      </c>
    </row>
    <row r="27" spans="1:6" s="48" customFormat="1" ht="13.4" customHeight="1">
      <c r="A27" s="14">
        <v>11</v>
      </c>
      <c r="B27" s="15">
        <f t="shared" si="0"/>
        <v>-22324.797425830366</v>
      </c>
      <c r="C27" s="38">
        <f t="shared" si="2"/>
        <v>0.13408938619942326</v>
      </c>
      <c r="D27" s="16">
        <f>C27*E13</f>
        <v>4314.8602130810623</v>
      </c>
      <c r="E27" s="61">
        <f t="shared" si="1"/>
        <v>-22324.797425830366</v>
      </c>
      <c r="F27" s="30" t="str">
        <f t="shared" si="3"/>
        <v>Lifetime Savings</v>
      </c>
    </row>
    <row r="28" spans="1:6" s="48" customFormat="1" ht="13.4" customHeight="1">
      <c r="A28" s="14">
        <v>12</v>
      </c>
      <c r="B28" s="15">
        <f t="shared" si="0"/>
        <v>-26726.091614346973</v>
      </c>
      <c r="C28" s="38">
        <f t="shared" si="2"/>
        <v>0.13677117392341173</v>
      </c>
      <c r="D28" s="16">
        <f>C28*E13</f>
        <v>4401.1574173426834</v>
      </c>
      <c r="E28" s="61">
        <f t="shared" si="1"/>
        <v>-26726.091614346973</v>
      </c>
      <c r="F28" s="30" t="str">
        <f t="shared" si="3"/>
        <v>Lifetime Savings</v>
      </c>
    </row>
    <row r="29" spans="1:6" s="48" customFormat="1" ht="13.4" customHeight="1">
      <c r="A29" s="14">
        <v>13</v>
      </c>
      <c r="B29" s="15">
        <f t="shared" si="0"/>
        <v>-31215.411686633914</v>
      </c>
      <c r="C29" s="38">
        <f t="shared" si="2"/>
        <v>0.13950659740187996</v>
      </c>
      <c r="D29" s="16">
        <f>C29*E13</f>
        <v>4489.1805656895367</v>
      </c>
      <c r="E29" s="61">
        <f t="shared" si="1"/>
        <v>-31215.411686633914</v>
      </c>
      <c r="F29" s="30" t="str">
        <f t="shared" si="3"/>
        <v>Lifetime Savings</v>
      </c>
    </row>
    <row r="30" spans="1:6" s="48" customFormat="1" ht="13.4" customHeight="1">
      <c r="A30" s="14">
        <v>14</v>
      </c>
      <c r="B30" s="15">
        <f t="shared" si="0"/>
        <v>-35794.518160366591</v>
      </c>
      <c r="C30" s="38">
        <f t="shared" si="2"/>
        <v>0.14229672934991755</v>
      </c>
      <c r="D30" s="16">
        <f>C30*E13</f>
        <v>4578.9641770033277</v>
      </c>
      <c r="E30" s="61">
        <f t="shared" si="1"/>
        <v>-35794.518160366591</v>
      </c>
      <c r="F30" s="30" t="str">
        <f t="shared" si="3"/>
        <v>Lifetime Savings</v>
      </c>
    </row>
    <row r="31" spans="1:6" s="48" customFormat="1" ht="13.4" customHeight="1">
      <c r="A31" s="14">
        <v>15</v>
      </c>
      <c r="B31" s="15">
        <f t="shared" si="0"/>
        <v>-40465.206763573922</v>
      </c>
      <c r="C31" s="38">
        <f t="shared" si="2"/>
        <v>0.14514266393691591</v>
      </c>
      <c r="D31" s="16">
        <f>C31*E13</f>
        <v>4670.5434605433938</v>
      </c>
      <c r="E31" s="61">
        <f t="shared" si="1"/>
        <v>-40465.206763573922</v>
      </c>
      <c r="F31" s="30" t="str">
        <f t="shared" si="3"/>
        <v>Lifetime Savings</v>
      </c>
    </row>
    <row r="32" spans="1:6" s="48" customFormat="1" ht="13.4" customHeight="1">
      <c r="A32" s="14">
        <v>16</v>
      </c>
      <c r="B32" s="15">
        <f t="shared" si="0"/>
        <v>-45229.309138845398</v>
      </c>
      <c r="C32" s="38">
        <f t="shared" si="2"/>
        <v>0.14804551721565423</v>
      </c>
      <c r="D32" s="16">
        <f>C32*E13</f>
        <v>4763.9543297542623</v>
      </c>
      <c r="E32" s="61">
        <f t="shared" si="1"/>
        <v>-45229.309138845398</v>
      </c>
      <c r="F32" s="30" t="str">
        <f t="shared" si="3"/>
        <v>Lifetime Savings</v>
      </c>
    </row>
    <row r="33" spans="1:7" s="48" customFormat="1" ht="13.4" customHeight="1">
      <c r="A33" s="14">
        <v>17</v>
      </c>
      <c r="B33" s="15">
        <f t="shared" si="0"/>
        <v>-50088.693561622305</v>
      </c>
      <c r="C33" s="38">
        <f t="shared" si="2"/>
        <v>0.15100642755996732</v>
      </c>
      <c r="D33" s="16">
        <f>C33*E13</f>
        <v>4859.2334163493479</v>
      </c>
      <c r="E33" s="61">
        <f t="shared" si="1"/>
        <v>-50088.693561622305</v>
      </c>
      <c r="F33" s="30" t="str">
        <f t="shared" si="3"/>
        <v>Lifetime Savings</v>
      </c>
    </row>
    <row r="34" spans="1:7" s="48" customFormat="1" ht="13.4" customHeight="1">
      <c r="A34" s="14">
        <v>18</v>
      </c>
      <c r="B34" s="15">
        <f t="shared" si="0"/>
        <v>-55045.265672854752</v>
      </c>
      <c r="C34" s="38">
        <f t="shared" si="2"/>
        <v>0.15402655611116667</v>
      </c>
      <c r="D34" s="16">
        <f>C34*E13</f>
        <v>4956.4180846763347</v>
      </c>
      <c r="E34" s="61">
        <f t="shared" si="1"/>
        <v>-55045.265672854752</v>
      </c>
      <c r="F34" s="30" t="str">
        <f t="shared" si="3"/>
        <v>Lifetime Savings</v>
      </c>
    </row>
    <row r="35" spans="1:7" s="48" customFormat="1" ht="13.4" customHeight="1">
      <c r="A35" s="14">
        <v>19</v>
      </c>
      <c r="B35" s="15">
        <f t="shared" si="0"/>
        <v>-60100.969226311841</v>
      </c>
      <c r="C35" s="38">
        <f t="shared" si="2"/>
        <v>0.15710708723339001</v>
      </c>
      <c r="D35" s="16">
        <f>C35*E13</f>
        <v>5055.5464463698618</v>
      </c>
      <c r="E35" s="61">
        <f t="shared" si="1"/>
        <v>-60100.969226311841</v>
      </c>
      <c r="F35" s="30" t="str">
        <f t="shared" si="3"/>
        <v>Lifetime Savings</v>
      </c>
    </row>
    <row r="36" spans="1:7" s="48" customFormat="1" ht="13.4" customHeight="1">
      <c r="A36" s="14">
        <v>20</v>
      </c>
      <c r="B36" s="15">
        <f t="shared" si="0"/>
        <v>-65257.786850838078</v>
      </c>
      <c r="C36" s="38">
        <f t="shared" si="2"/>
        <v>0.16024922897805779</v>
      </c>
      <c r="D36" s="16">
        <f>C36*E13</f>
        <v>5156.6573752972581</v>
      </c>
      <c r="E36" s="61">
        <f t="shared" si="1"/>
        <v>-65257.786850838078</v>
      </c>
      <c r="F36" s="30" t="str">
        <f t="shared" si="3"/>
        <v>Lifetime Savings</v>
      </c>
    </row>
    <row r="37" spans="1:7" s="48" customFormat="1" ht="13.4" customHeight="1">
      <c r="A37" s="14">
        <v>21</v>
      </c>
      <c r="B37" s="15">
        <f t="shared" si="0"/>
        <v>-70517.740827854839</v>
      </c>
      <c r="C37" s="38">
        <f t="shared" si="2"/>
        <v>0.16345421355761894</v>
      </c>
      <c r="D37" s="16">
        <f>C37*E13</f>
        <v>5259.7905228032032</v>
      </c>
      <c r="E37" s="61">
        <f t="shared" si="1"/>
        <v>-70517.740827854839</v>
      </c>
      <c r="F37" s="30" t="str">
        <f t="shared" si="3"/>
        <v>Lifetime Savings</v>
      </c>
    </row>
    <row r="38" spans="1:7" s="48" customFormat="1" ht="13.4" customHeight="1">
      <c r="A38" s="14">
        <v>22</v>
      </c>
      <c r="B38" s="15">
        <f t="shared" si="0"/>
        <v>-75882.893884411926</v>
      </c>
      <c r="C38" s="38">
        <f t="shared" si="2"/>
        <v>0.16672329782877132</v>
      </c>
      <c r="D38" s="16">
        <f>C38*E13</f>
        <v>5364.9863332592668</v>
      </c>
      <c r="E38" s="61">
        <f t="shared" si="1"/>
        <v>-75882.893884411926</v>
      </c>
      <c r="F38" s="30" t="str">
        <f t="shared" si="3"/>
        <v>Lifetime Savings</v>
      </c>
    </row>
    <row r="39" spans="1:7" s="48" customFormat="1" ht="13.4" customHeight="1">
      <c r="A39" s="14">
        <v>23</v>
      </c>
      <c r="B39" s="15">
        <f t="shared" si="0"/>
        <v>-81355.350002100167</v>
      </c>
      <c r="C39" s="38">
        <f t="shared" si="2"/>
        <v>0.17005776378534676</v>
      </c>
      <c r="D39" s="16">
        <f>C39*E13</f>
        <v>5472.2860599244532</v>
      </c>
      <c r="E39" s="61">
        <f t="shared" si="1"/>
        <v>-81355.350002100167</v>
      </c>
      <c r="F39" s="30" t="str">
        <f t="shared" si="3"/>
        <v>Lifetime Savings</v>
      </c>
    </row>
    <row r="40" spans="1:7" s="48" customFormat="1" ht="13.4" customHeight="1">
      <c r="A40" s="14">
        <v>24</v>
      </c>
      <c r="B40" s="15">
        <f t="shared" si="0"/>
        <v>-86937.255242142171</v>
      </c>
      <c r="C40" s="38">
        <f t="shared" si="2"/>
        <v>0.17345891906105371</v>
      </c>
      <c r="D40" s="16">
        <f>C40*E13</f>
        <v>5581.7317811229423</v>
      </c>
      <c r="E40" s="61">
        <f t="shared" si="1"/>
        <v>-86937.255242142171</v>
      </c>
      <c r="F40" s="30" t="str">
        <f t="shared" si="3"/>
        <v>Lifetime Savings</v>
      </c>
    </row>
    <row r="41" spans="1:7" s="48" customFormat="1" ht="13.4" customHeight="1">
      <c r="A41" s="14">
        <v>25</v>
      </c>
      <c r="B41" s="15">
        <f t="shared" si="0"/>
        <v>-92630.798586985009</v>
      </c>
      <c r="C41" s="38">
        <f t="shared" si="2"/>
        <v>0.17692809744227478</v>
      </c>
      <c r="D41" s="16">
        <f>C41*$E$13</f>
        <v>5693.3664167454008</v>
      </c>
      <c r="E41" s="61">
        <f t="shared" si="1"/>
        <v>-92630.798586985009</v>
      </c>
      <c r="F41" s="30" t="str">
        <f t="shared" si="3"/>
        <v>Lifetime Savings</v>
      </c>
    </row>
    <row r="42" spans="1:7" ht="13.4" customHeight="1">
      <c r="A42" s="14">
        <v>26</v>
      </c>
      <c r="B42" s="15">
        <f t="shared" si="0"/>
        <v>-98438.212798724708</v>
      </c>
      <c r="C42" s="38">
        <f t="shared" si="2"/>
        <v>0.18046665939112028</v>
      </c>
      <c r="D42" s="16">
        <f t="shared" ref="D42:D46" si="4">C42*$E$13</f>
        <v>5807.2337450803088</v>
      </c>
      <c r="E42" s="61">
        <f t="shared" si="1"/>
        <v>-98438.212798724708</v>
      </c>
      <c r="F42" s="30" t="str">
        <f t="shared" si="3"/>
        <v>Lifetime Savings</v>
      </c>
    </row>
    <row r="43" spans="1:7" ht="13.4" customHeight="1">
      <c r="A43" s="14">
        <v>27</v>
      </c>
      <c r="B43" s="15">
        <f t="shared" si="0"/>
        <v>-104361.77529469921</v>
      </c>
      <c r="C43" s="38">
        <f t="shared" si="2"/>
        <v>0.18407599257894269</v>
      </c>
      <c r="D43" s="16">
        <f t="shared" si="4"/>
        <v>5923.3784199819156</v>
      </c>
      <c r="E43" s="61">
        <f t="shared" si="1"/>
        <v>-104361.77529469921</v>
      </c>
      <c r="F43" s="30" t="str">
        <f t="shared" si="3"/>
        <v>Lifetime Savings</v>
      </c>
    </row>
    <row r="44" spans="1:7" ht="13.4" customHeight="1">
      <c r="A44" s="14">
        <v>28</v>
      </c>
      <c r="B44" s="15">
        <f t="shared" si="0"/>
        <v>-110403.80904059319</v>
      </c>
      <c r="C44" s="38">
        <f t="shared" si="2"/>
        <v>0.18775751243052155</v>
      </c>
      <c r="D44" s="16">
        <f t="shared" si="4"/>
        <v>6041.845988381554</v>
      </c>
      <c r="E44" s="61">
        <f t="shared" si="1"/>
        <v>-110403.80904059319</v>
      </c>
      <c r="F44" s="30" t="str">
        <f t="shared" si="3"/>
        <v>Lifetime Savings</v>
      </c>
      <c r="G44" s="2"/>
    </row>
    <row r="45" spans="1:7" ht="13.4" customHeight="1">
      <c r="A45" s="14">
        <v>29</v>
      </c>
      <c r="B45" s="15">
        <f t="shared" si="0"/>
        <v>-116566.68346140506</v>
      </c>
      <c r="C45" s="38">
        <f t="shared" si="2"/>
        <v>0.19151266267913197</v>
      </c>
      <c r="D45" s="16">
        <f t="shared" si="4"/>
        <v>6162.6829081491851</v>
      </c>
      <c r="E45" s="61">
        <f t="shared" si="1"/>
        <v>-116566.68346140506</v>
      </c>
      <c r="F45" s="30" t="str">
        <f t="shared" si="3"/>
        <v>Lifetime Savings</v>
      </c>
    </row>
    <row r="46" spans="1:7" ht="13.4" customHeight="1">
      <c r="A46" s="14">
        <v>30</v>
      </c>
      <c r="B46" s="15">
        <f t="shared" si="0"/>
        <v>-122852.81537063317</v>
      </c>
      <c r="C46" s="38">
        <f t="shared" si="2"/>
        <v>0.19534291593271461</v>
      </c>
      <c r="D46" s="49">
        <f t="shared" si="4"/>
        <v>6285.9365663121689</v>
      </c>
      <c r="E46" s="62">
        <f t="shared" si="1"/>
        <v>-122852.81537063317</v>
      </c>
      <c r="F46" s="30" t="str">
        <f t="shared" si="3"/>
        <v>Lifetime Savings</v>
      </c>
    </row>
    <row r="47" spans="1:7">
      <c r="D47" s="32" t="s">
        <v>13</v>
      </c>
      <c r="E47" s="60">
        <f>SUM(D17:D46)-F8</f>
        <v>122848.35288192058</v>
      </c>
    </row>
  </sheetData>
  <mergeCells count="10">
    <mergeCell ref="A10:B11"/>
    <mergeCell ref="C10:F10"/>
    <mergeCell ref="C11:C12"/>
    <mergeCell ref="E11:E12"/>
    <mergeCell ref="A3:C3"/>
    <mergeCell ref="E3:F3"/>
    <mergeCell ref="A4:B4"/>
    <mergeCell ref="A5:B5"/>
    <mergeCell ref="A6:B6"/>
    <mergeCell ref="A8:E8"/>
  </mergeCells>
  <conditionalFormatting sqref="E17:E46">
    <cfRule type="cellIs" dxfId="19" priority="9" operator="lessThan">
      <formula>0</formula>
    </cfRule>
    <cfRule type="cellIs" dxfId="18" priority="10" operator="greaterThan">
      <formula>0</formula>
    </cfRule>
  </conditionalFormatting>
  <conditionalFormatting sqref="B16:B46"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F17:F46">
    <cfRule type="containsText" dxfId="15" priority="4" operator="containsText" text="Lifetime Savings">
      <formula>NOT(ISERROR(SEARCH("Lifetime Savings",F17)))</formula>
    </cfRule>
    <cfRule type="containsText" dxfId="14" priority="5" operator="containsText" text="Lifetime Savngs">
      <formula>NOT(ISERROR(SEARCH("Lifetime Savngs",F17)))</formula>
    </cfRule>
    <cfRule type="containsText" dxfId="13" priority="6" operator="containsText" text="Payback Period">
      <formula>NOT(ISERROR(SEARCH("Payback Period",F17)))</formula>
    </cfRule>
  </conditionalFormatting>
  <conditionalFormatting sqref="A10:B11">
    <cfRule type="expression" dxfId="12" priority="1">
      <formula>$C$5=0</formula>
    </cfRule>
    <cfRule type="cellIs" dxfId="11" priority="3" operator="greaterThan">
      <formula>0</formula>
    </cfRule>
  </conditionalFormatting>
  <conditionalFormatting sqref="C10:F46 D47:E47 A12:B46">
    <cfRule type="expression" dxfId="10" priority="2">
      <formula>$C$5=0</formula>
    </cfRule>
  </conditionalFormatting>
  <pageMargins left="0.7" right="0.7" top="1.7916666666666667" bottom="0.89583333333333337" header="0.3" footer="0.3"/>
  <pageSetup paperSize="9" orientation="portrait" verticalDpi="1200" r:id="rId1"/>
  <headerFooter>
    <oddHeader>&amp;C&amp;G</oddHeader>
    <oddFooter>&amp;C&amp;"-,Bold"&amp;K03+000Telephone:&amp;"-,Regular" 0113 271 7588 
&amp;"-,Bold"Email:&amp;"-,Regular" info@wilsonpowersolutions.co.uk 
&amp;"-,Bold"Address: &amp;"-,Regular"Westland Works, Westland Square, Leeds, LS11 5SS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0000000}">
          <x14:formula1>
            <xm:f>Data!$C$19:$C$22</xm:f>
          </x14:formula1>
          <xm:sqref>F1</xm:sqref>
        </x14:dataValidation>
        <x14:dataValidation type="list" allowBlank="1" showInputMessage="1" showErrorMessage="1" xr:uid="{00000000-0002-0000-0A00-000001000000}">
          <x14:formula1>
            <xm:f>Data!$C$5:$C$13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7"/>
  <sheetViews>
    <sheetView showWhiteSpace="0" view="pageLayout" topLeftCell="A10" zoomScaleNormal="100" workbookViewId="0">
      <selection activeCell="B16" sqref="B16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5.453125" style="4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69">
        <v>1000</v>
      </c>
      <c r="C1" s="10"/>
      <c r="D1" s="10"/>
      <c r="E1" s="106" t="s">
        <v>58</v>
      </c>
      <c r="F1" s="107" t="s">
        <v>57</v>
      </c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tr">
        <f>VLOOKUP(F1,Data!C18:E28,2,FALSE)</f>
        <v>Wilson e1 ECO CRGO Tier 1</v>
      </c>
      <c r="B3" s="128"/>
      <c r="C3" s="128"/>
      <c r="D3" s="5"/>
      <c r="E3" s="128" t="s">
        <v>60</v>
      </c>
      <c r="F3" s="128"/>
      <c r="G3" s="3"/>
    </row>
    <row r="4" spans="1:7">
      <c r="A4" s="129" t="s">
        <v>0</v>
      </c>
      <c r="B4" s="129"/>
      <c r="C4" s="58">
        <f>VLOOKUP(B1,Costing,2,FALSE)</f>
        <v>12545</v>
      </c>
      <c r="D4" s="6"/>
      <c r="E4" s="8" t="s">
        <v>3</v>
      </c>
      <c r="F4" s="58">
        <f>VLOOKUP(B1,Costing,4,FALSE)</f>
        <v>20750</v>
      </c>
      <c r="G4" s="3"/>
    </row>
    <row r="5" spans="1:7" ht="14.25" customHeight="1">
      <c r="A5" s="129" t="s">
        <v>1</v>
      </c>
      <c r="B5" s="129"/>
      <c r="C5" s="59">
        <f>IF(F1=Data!C24,VLOOKUP(B1,Losses_Chart,13,FALSE),IF(F1=Data!C25,VLOOKUP(B1,Losses_Chart,15,FALSE),"NOT FOUND"))</f>
        <v>770</v>
      </c>
      <c r="D5" s="5"/>
      <c r="E5" s="8" t="s">
        <v>4</v>
      </c>
      <c r="F5" s="59">
        <f>VLOOKUP(B1,Losses_Chart,17,FALSE)</f>
        <v>450</v>
      </c>
      <c r="G5" s="3"/>
    </row>
    <row r="6" spans="1:7">
      <c r="A6" s="129" t="s">
        <v>2</v>
      </c>
      <c r="B6" s="129"/>
      <c r="C6" s="59">
        <f>IF(F1=Data!C24,VLOOKUP(B1,Losses_Chart,12,FALSE),IF(F1=Data!C25,VLOOKUP(B1,Losses_Chart,14,FALSE),"NOT FOUND"))</f>
        <v>10500</v>
      </c>
      <c r="D6" s="5"/>
      <c r="E6" s="8" t="s">
        <v>2</v>
      </c>
      <c r="F6" s="59">
        <f>VLOOKUP(B1,Losses_Chart,16,FALSE)</f>
        <v>6840</v>
      </c>
      <c r="G6" s="3"/>
    </row>
    <row r="7" spans="1:7" ht="7.5" customHeight="1">
      <c r="A7" s="114"/>
      <c r="B7" s="114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57">
        <f>IFERROR((F4-C4),"Price Req'd")</f>
        <v>8205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2.5" customHeight="1">
      <c r="A10" s="133" t="s">
        <v>41</v>
      </c>
      <c r="B10" s="134"/>
      <c r="C10" s="127" t="s">
        <v>8</v>
      </c>
      <c r="D10" s="127"/>
      <c r="E10" s="127"/>
      <c r="F10" s="127"/>
    </row>
    <row r="11" spans="1:7" ht="22.5" customHeight="1">
      <c r="A11" s="135"/>
      <c r="B11" s="136"/>
      <c r="C11" s="131" t="s">
        <v>23</v>
      </c>
      <c r="D11" s="23" t="s">
        <v>25</v>
      </c>
      <c r="E11" s="131" t="s">
        <v>26</v>
      </c>
      <c r="F11" s="23" t="s">
        <v>7</v>
      </c>
    </row>
    <row r="12" spans="1:7" ht="21">
      <c r="A12" s="56" t="s">
        <v>5</v>
      </c>
      <c r="B12" s="56" t="s">
        <v>6</v>
      </c>
      <c r="C12" s="132"/>
      <c r="D12" s="25">
        <v>70</v>
      </c>
      <c r="E12" s="132"/>
      <c r="F12" s="14" t="s">
        <v>59</v>
      </c>
    </row>
    <row r="13" spans="1:7">
      <c r="A13" s="26">
        <f>C5-F5</f>
        <v>320</v>
      </c>
      <c r="B13" s="14">
        <f>C6-F6</f>
        <v>3660</v>
      </c>
      <c r="C13" s="16">
        <f>A13*24*365/1000</f>
        <v>2803.2</v>
      </c>
      <c r="D13" s="14">
        <f>(B13*24*365*((D12*D12)/10000/1000))</f>
        <v>15710.183999999999</v>
      </c>
      <c r="E13" s="27">
        <f>D13+C13</f>
        <v>18513.383999999998</v>
      </c>
      <c r="F13" s="28">
        <f>E13*0.000283</f>
        <v>5.2392876719999997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27">
      <c r="A15" s="55" t="s">
        <v>10</v>
      </c>
      <c r="B15" s="55" t="s">
        <v>27</v>
      </c>
      <c r="C15" s="55" t="s">
        <v>28</v>
      </c>
      <c r="D15" s="55" t="s">
        <v>29</v>
      </c>
      <c r="E15" s="55" t="s">
        <v>12</v>
      </c>
      <c r="F15" s="55" t="s">
        <v>11</v>
      </c>
    </row>
    <row r="16" spans="1:7" ht="13.4" customHeight="1">
      <c r="A16" s="14">
        <v>0</v>
      </c>
      <c r="B16" s="15">
        <f>F8</f>
        <v>8205</v>
      </c>
      <c r="C16" s="38"/>
      <c r="D16" s="14"/>
      <c r="E16" s="14"/>
      <c r="F16" s="14"/>
    </row>
    <row r="17" spans="1:6" ht="13.4" customHeight="1">
      <c r="A17" s="14">
        <v>1</v>
      </c>
      <c r="B17" s="15">
        <f>E17</f>
        <v>6168.4177599999994</v>
      </c>
      <c r="C17" s="39">
        <v>0.11</v>
      </c>
      <c r="D17" s="16">
        <f>C17*E13</f>
        <v>2036.4722399999998</v>
      </c>
      <c r="E17" s="61">
        <f>B16-C17-D17</f>
        <v>6168.4177599999994</v>
      </c>
      <c r="F17" s="30" t="str">
        <f>IF(E17&gt;0,"Payback Period","Lifetime Savings")</f>
        <v>Payback Period</v>
      </c>
    </row>
    <row r="18" spans="1:6" s="48" customFormat="1" ht="13.4" customHeight="1">
      <c r="A18" s="14">
        <v>2</v>
      </c>
      <c r="B18" s="15">
        <f t="shared" ref="B18:B46" si="0">E18</f>
        <v>4091.1038751999999</v>
      </c>
      <c r="C18" s="38">
        <f>C17+(C17*2%)</f>
        <v>0.11219999999999999</v>
      </c>
      <c r="D18" s="16">
        <f>C18*E13</f>
        <v>2077.2016847999998</v>
      </c>
      <c r="E18" s="61">
        <f t="shared" ref="E18:E46" si="1">B17-C18-D18</f>
        <v>4091.1038751999999</v>
      </c>
      <c r="F18" s="30" t="str">
        <f>IF(E18&gt;0,"Payback Period","Lifetime Savings")</f>
        <v>Payback Period</v>
      </c>
    </row>
    <row r="19" spans="1:6" s="48" customFormat="1" ht="13.4" customHeight="1">
      <c r="A19" s="14">
        <v>3</v>
      </c>
      <c r="B19" s="15">
        <f>E19</f>
        <v>1972.2437127040007</v>
      </c>
      <c r="C19" s="38">
        <f t="shared" ref="C19:C46" si="2">C18+(C18*2%)</f>
        <v>0.11444399999999999</v>
      </c>
      <c r="D19" s="16">
        <f>C19*E13</f>
        <v>2118.7457184959994</v>
      </c>
      <c r="E19" s="61">
        <f t="shared" si="1"/>
        <v>1972.2437127040007</v>
      </c>
      <c r="F19" s="30" t="str">
        <f t="shared" ref="F19:F46" si="3">IF(E19&gt;0,"Payback Period","Lifetime Savings")</f>
        <v>Payback Period</v>
      </c>
    </row>
    <row r="20" spans="1:6" s="48" customFormat="1" ht="13.4" customHeight="1">
      <c r="A20" s="14">
        <v>4</v>
      </c>
      <c r="B20" s="15">
        <f t="shared" si="0"/>
        <v>-188.99365304191883</v>
      </c>
      <c r="C20" s="38">
        <f t="shared" si="2"/>
        <v>0.11673287999999998</v>
      </c>
      <c r="D20" s="16">
        <f>C20*E13</f>
        <v>2161.1206328659196</v>
      </c>
      <c r="E20" s="61">
        <f t="shared" si="1"/>
        <v>-188.99365304191883</v>
      </c>
      <c r="F20" s="30" t="str">
        <f t="shared" si="3"/>
        <v>Lifetime Savings</v>
      </c>
    </row>
    <row r="21" spans="1:6" s="48" customFormat="1" ht="13.4" customHeight="1">
      <c r="A21" s="14">
        <v>5</v>
      </c>
      <c r="B21" s="15">
        <f t="shared" si="0"/>
        <v>-2393.4557661027566</v>
      </c>
      <c r="C21" s="38">
        <f t="shared" si="2"/>
        <v>0.11906753759999998</v>
      </c>
      <c r="D21" s="16">
        <f>C21*E13</f>
        <v>2204.3430455232378</v>
      </c>
      <c r="E21" s="61">
        <f t="shared" si="1"/>
        <v>-2393.4557661027566</v>
      </c>
      <c r="F21" s="30" t="str">
        <f t="shared" si="3"/>
        <v>Lifetime Savings</v>
      </c>
    </row>
    <row r="22" spans="1:6" s="48" customFormat="1" ht="13.4" customHeight="1">
      <c r="A22" s="14">
        <v>6</v>
      </c>
      <c r="B22" s="15">
        <f t="shared" si="0"/>
        <v>-4642.007121424811</v>
      </c>
      <c r="C22" s="38">
        <f t="shared" si="2"/>
        <v>0.12144888835199998</v>
      </c>
      <c r="D22" s="16">
        <f>C22*E13</f>
        <v>2248.4299064337024</v>
      </c>
      <c r="E22" s="61">
        <f t="shared" si="1"/>
        <v>-4642.007121424811</v>
      </c>
      <c r="F22" s="30" t="str">
        <f t="shared" si="3"/>
        <v>Lifetime Savings</v>
      </c>
    </row>
    <row r="23" spans="1:6" s="48" customFormat="1" ht="13.4" customHeight="1">
      <c r="A23" s="14">
        <v>7</v>
      </c>
      <c r="B23" s="15">
        <f t="shared" si="0"/>
        <v>-6935.5295038533068</v>
      </c>
      <c r="C23" s="38">
        <f t="shared" si="2"/>
        <v>0.12387786611903998</v>
      </c>
      <c r="D23" s="16">
        <f>C23*E13</f>
        <v>2293.3985045623767</v>
      </c>
      <c r="E23" s="61">
        <f t="shared" si="1"/>
        <v>-6935.5295038533068</v>
      </c>
      <c r="F23" s="30" t="str">
        <f t="shared" si="3"/>
        <v>Lifetime Savings</v>
      </c>
    </row>
    <row r="24" spans="1:6" s="48" customFormat="1" ht="13.4" customHeight="1">
      <c r="A24" s="14">
        <v>8</v>
      </c>
      <c r="B24" s="15">
        <f t="shared" si="0"/>
        <v>-9274.9223339303717</v>
      </c>
      <c r="C24" s="38">
        <f t="shared" si="2"/>
        <v>0.12635542344142078</v>
      </c>
      <c r="D24" s="16">
        <f>C24*E13</f>
        <v>2339.2664746536243</v>
      </c>
      <c r="E24" s="61">
        <f t="shared" si="1"/>
        <v>-9274.9223339303717</v>
      </c>
      <c r="F24" s="30" t="str">
        <f t="shared" si="3"/>
        <v>Lifetime Savings</v>
      </c>
    </row>
    <row r="25" spans="1:6" s="48" customFormat="1" ht="13.4" customHeight="1">
      <c r="A25" s="14">
        <v>9</v>
      </c>
      <c r="B25" s="15">
        <f t="shared" si="0"/>
        <v>-11661.103020608978</v>
      </c>
      <c r="C25" s="38">
        <f t="shared" si="2"/>
        <v>0.1288825319102492</v>
      </c>
      <c r="D25" s="16">
        <f>C25*E13</f>
        <v>2386.0518041466967</v>
      </c>
      <c r="E25" s="61">
        <f t="shared" si="1"/>
        <v>-11661.103020608978</v>
      </c>
      <c r="F25" s="30" t="str">
        <f t="shared" si="3"/>
        <v>Lifetime Savings</v>
      </c>
    </row>
    <row r="26" spans="1:6" s="48" customFormat="1" ht="13.4" customHeight="1">
      <c r="A26" s="14">
        <v>10</v>
      </c>
      <c r="B26" s="15">
        <f t="shared" si="0"/>
        <v>-14095.007321021158</v>
      </c>
      <c r="C26" s="38">
        <f t="shared" si="2"/>
        <v>0.13146018254845418</v>
      </c>
      <c r="D26" s="16">
        <f>C26*E13</f>
        <v>2433.7728402296307</v>
      </c>
      <c r="E26" s="61">
        <f t="shared" si="1"/>
        <v>-14095.007321021158</v>
      </c>
      <c r="F26" s="30" t="str">
        <f t="shared" si="3"/>
        <v>Lifetime Savings</v>
      </c>
    </row>
    <row r="27" spans="1:6" s="48" customFormat="1" ht="13.4" customHeight="1">
      <c r="A27" s="14">
        <v>11</v>
      </c>
      <c r="B27" s="15">
        <f t="shared" si="0"/>
        <v>-16577.589707441581</v>
      </c>
      <c r="C27" s="38">
        <f t="shared" si="2"/>
        <v>0.13408938619942326</v>
      </c>
      <c r="D27" s="16">
        <f>C27*E13</f>
        <v>2482.4482970342233</v>
      </c>
      <c r="E27" s="61">
        <f t="shared" si="1"/>
        <v>-16577.589707441581</v>
      </c>
      <c r="F27" s="30" t="str">
        <f t="shared" si="3"/>
        <v>Lifetime Savings</v>
      </c>
    </row>
    <row r="28" spans="1:6" s="48" customFormat="1" ht="13.4" customHeight="1">
      <c r="A28" s="14">
        <v>12</v>
      </c>
      <c r="B28" s="15">
        <f t="shared" si="0"/>
        <v>-19109.823741590411</v>
      </c>
      <c r="C28" s="38">
        <f t="shared" si="2"/>
        <v>0.13677117392341173</v>
      </c>
      <c r="D28" s="16">
        <f>C28*E13</f>
        <v>2532.0972629749076</v>
      </c>
      <c r="E28" s="61">
        <f t="shared" si="1"/>
        <v>-19109.823741590411</v>
      </c>
      <c r="F28" s="30" t="str">
        <f t="shared" si="3"/>
        <v>Lifetime Savings</v>
      </c>
    </row>
    <row r="29" spans="1:6" s="48" customFormat="1" ht="13.4" customHeight="1">
      <c r="A29" s="14">
        <v>13</v>
      </c>
      <c r="B29" s="15">
        <f t="shared" si="0"/>
        <v>-21692.702456422219</v>
      </c>
      <c r="C29" s="38">
        <f t="shared" si="2"/>
        <v>0.13950659740187996</v>
      </c>
      <c r="D29" s="16">
        <f>C29*E13</f>
        <v>2582.7392082344059</v>
      </c>
      <c r="E29" s="61">
        <f t="shared" si="1"/>
        <v>-21692.702456422219</v>
      </c>
      <c r="F29" s="30" t="str">
        <f t="shared" si="3"/>
        <v>Lifetime Savings</v>
      </c>
    </row>
    <row r="30" spans="1:6" s="48" customFormat="1" ht="13.4" customHeight="1">
      <c r="A30" s="14">
        <v>14</v>
      </c>
      <c r="B30" s="15">
        <f t="shared" si="0"/>
        <v>-24327.238745550665</v>
      </c>
      <c r="C30" s="38">
        <f t="shared" si="2"/>
        <v>0.14229672934991755</v>
      </c>
      <c r="D30" s="16">
        <f>C30*E13</f>
        <v>2634.3939923990938</v>
      </c>
      <c r="E30" s="61">
        <f t="shared" si="1"/>
        <v>-24327.238745550665</v>
      </c>
      <c r="F30" s="30" t="str">
        <f t="shared" si="3"/>
        <v>Lifetime Savings</v>
      </c>
    </row>
    <row r="31" spans="1:6" s="48" customFormat="1" ht="13.4" customHeight="1">
      <c r="A31" s="14">
        <v>15</v>
      </c>
      <c r="B31" s="15">
        <f t="shared" si="0"/>
        <v>-27014.465760461677</v>
      </c>
      <c r="C31" s="38">
        <f t="shared" si="2"/>
        <v>0.14514266393691591</v>
      </c>
      <c r="D31" s="16">
        <f>C31*E13</f>
        <v>2687.0818722470758</v>
      </c>
      <c r="E31" s="61">
        <f t="shared" si="1"/>
        <v>-27014.465760461677</v>
      </c>
      <c r="F31" s="30" t="str">
        <f t="shared" si="3"/>
        <v>Lifetime Savings</v>
      </c>
    </row>
    <row r="32" spans="1:6" s="48" customFormat="1" ht="13.4" customHeight="1">
      <c r="A32" s="14">
        <v>16</v>
      </c>
      <c r="B32" s="15">
        <f t="shared" si="0"/>
        <v>-29755.437315670912</v>
      </c>
      <c r="C32" s="38">
        <f t="shared" si="2"/>
        <v>0.14804551721565423</v>
      </c>
      <c r="D32" s="16">
        <f>C32*E13</f>
        <v>2740.8235096920175</v>
      </c>
      <c r="E32" s="61">
        <f t="shared" si="1"/>
        <v>-29755.437315670912</v>
      </c>
      <c r="F32" s="30" t="str">
        <f t="shared" si="3"/>
        <v>Lifetime Savings</v>
      </c>
    </row>
    <row r="33" spans="1:7" s="48" customFormat="1" ht="13.4" customHeight="1">
      <c r="A33" s="14">
        <v>17</v>
      </c>
      <c r="B33" s="15">
        <f t="shared" si="0"/>
        <v>-32551.228301984331</v>
      </c>
      <c r="C33" s="38">
        <f t="shared" si="2"/>
        <v>0.15100642755996732</v>
      </c>
      <c r="D33" s="16">
        <f>C33*E13</f>
        <v>2795.6399798858579</v>
      </c>
      <c r="E33" s="61">
        <f t="shared" si="1"/>
        <v>-32551.228301984331</v>
      </c>
      <c r="F33" s="30" t="str">
        <f t="shared" si="3"/>
        <v>Lifetime Savings</v>
      </c>
    </row>
    <row r="34" spans="1:7" s="48" customFormat="1" ht="13.4" customHeight="1">
      <c r="A34" s="14">
        <v>18</v>
      </c>
      <c r="B34" s="15">
        <f t="shared" si="0"/>
        <v>-35402.935108024016</v>
      </c>
      <c r="C34" s="38">
        <f t="shared" si="2"/>
        <v>0.15402655611116667</v>
      </c>
      <c r="D34" s="16">
        <f>C34*E13</f>
        <v>2851.5527794835748</v>
      </c>
      <c r="E34" s="61">
        <f t="shared" si="1"/>
        <v>-35402.935108024016</v>
      </c>
      <c r="F34" s="30" t="str">
        <f t="shared" si="3"/>
        <v>Lifetime Savings</v>
      </c>
    </row>
    <row r="35" spans="1:7" s="48" customFormat="1" ht="13.4" customHeight="1">
      <c r="A35" s="14">
        <v>19</v>
      </c>
      <c r="B35" s="15">
        <f t="shared" si="0"/>
        <v>-38311.676050184491</v>
      </c>
      <c r="C35" s="38">
        <f t="shared" si="2"/>
        <v>0.15710708723339001</v>
      </c>
      <c r="D35" s="16">
        <f>C35*E13</f>
        <v>2908.5838350732465</v>
      </c>
      <c r="E35" s="61">
        <f t="shared" si="1"/>
        <v>-38311.676050184491</v>
      </c>
      <c r="F35" s="30" t="str">
        <f t="shared" si="3"/>
        <v>Lifetime Savings</v>
      </c>
    </row>
    <row r="36" spans="1:7" s="48" customFormat="1" ht="13.4" customHeight="1">
      <c r="A36" s="14">
        <v>20</v>
      </c>
      <c r="B36" s="15">
        <f t="shared" si="0"/>
        <v>-41278.591811188177</v>
      </c>
      <c r="C36" s="38">
        <f t="shared" si="2"/>
        <v>0.16024922897805779</v>
      </c>
      <c r="D36" s="16">
        <f>C36*E13</f>
        <v>2966.7555117747111</v>
      </c>
      <c r="E36" s="61">
        <f t="shared" si="1"/>
        <v>-41278.591811188177</v>
      </c>
      <c r="F36" s="30" t="str">
        <f t="shared" si="3"/>
        <v>Lifetime Savings</v>
      </c>
    </row>
    <row r="37" spans="1:7" s="48" customFormat="1" ht="13.4" customHeight="1">
      <c r="A37" s="14">
        <v>21</v>
      </c>
      <c r="B37" s="15">
        <f t="shared" si="0"/>
        <v>-44304.845887411939</v>
      </c>
      <c r="C37" s="38">
        <f t="shared" si="2"/>
        <v>0.16345421355761894</v>
      </c>
      <c r="D37" s="16">
        <f>C37*E13</f>
        <v>3026.0906220102052</v>
      </c>
      <c r="E37" s="61">
        <f t="shared" si="1"/>
        <v>-44304.845887411939</v>
      </c>
      <c r="F37" s="30" t="str">
        <f t="shared" si="3"/>
        <v>Lifetime Savings</v>
      </c>
    </row>
    <row r="38" spans="1:7" s="48" customFormat="1" ht="13.4" customHeight="1">
      <c r="A38" s="14">
        <v>22</v>
      </c>
      <c r="B38" s="15">
        <f t="shared" si="0"/>
        <v>-47391.625045160181</v>
      </c>
      <c r="C38" s="38">
        <f t="shared" si="2"/>
        <v>0.16672329782877132</v>
      </c>
      <c r="D38" s="16">
        <f>C38*E13</f>
        <v>3086.6124344504096</v>
      </c>
      <c r="E38" s="61">
        <f t="shared" si="1"/>
        <v>-47391.625045160181</v>
      </c>
      <c r="F38" s="30" t="str">
        <f t="shared" si="3"/>
        <v>Lifetime Savings</v>
      </c>
    </row>
    <row r="39" spans="1:7" s="48" customFormat="1" ht="13.4" customHeight="1">
      <c r="A39" s="14">
        <v>23</v>
      </c>
      <c r="B39" s="15">
        <f t="shared" si="0"/>
        <v>-50540.139786063381</v>
      </c>
      <c r="C39" s="38">
        <f t="shared" si="2"/>
        <v>0.17005776378534676</v>
      </c>
      <c r="D39" s="16">
        <f>C39*E13</f>
        <v>3148.3446831394181</v>
      </c>
      <c r="E39" s="61">
        <f t="shared" si="1"/>
        <v>-50540.139786063381</v>
      </c>
      <c r="F39" s="30" t="str">
        <f t="shared" si="3"/>
        <v>Lifetime Savings</v>
      </c>
    </row>
    <row r="40" spans="1:7" s="48" customFormat="1" ht="13.4" customHeight="1">
      <c r="A40" s="14">
        <v>24</v>
      </c>
      <c r="B40" s="15">
        <f t="shared" si="0"/>
        <v>-53751.624821784644</v>
      </c>
      <c r="C40" s="38">
        <f t="shared" si="2"/>
        <v>0.17345891906105371</v>
      </c>
      <c r="D40" s="16">
        <f>C40*E13</f>
        <v>3211.3115768022062</v>
      </c>
      <c r="E40" s="61">
        <f t="shared" si="1"/>
        <v>-53751.624821784644</v>
      </c>
      <c r="F40" s="30" t="str">
        <f t="shared" si="3"/>
        <v>Lifetime Savings</v>
      </c>
    </row>
    <row r="41" spans="1:7" s="48" customFormat="1" ht="13.4" customHeight="1">
      <c r="A41" s="14">
        <v>25</v>
      </c>
      <c r="B41" s="15">
        <f t="shared" si="0"/>
        <v>-57027.339558220337</v>
      </c>
      <c r="C41" s="38">
        <f t="shared" si="2"/>
        <v>0.17692809744227478</v>
      </c>
      <c r="D41" s="16">
        <f>C41*$E$13</f>
        <v>3275.5378083382507</v>
      </c>
      <c r="E41" s="61">
        <f t="shared" si="1"/>
        <v>-57027.339558220337</v>
      </c>
      <c r="F41" s="30" t="str">
        <f t="shared" si="3"/>
        <v>Lifetime Savings</v>
      </c>
    </row>
    <row r="42" spans="1:7" ht="13.4" customHeight="1">
      <c r="A42" s="14">
        <v>26</v>
      </c>
      <c r="B42" s="15">
        <f t="shared" si="0"/>
        <v>-60368.56858938474</v>
      </c>
      <c r="C42" s="38">
        <f t="shared" si="2"/>
        <v>0.18046665939112028</v>
      </c>
      <c r="D42" s="16">
        <f t="shared" ref="D42:D46" si="4">C42*$E$13</f>
        <v>3341.0485645050157</v>
      </c>
      <c r="E42" s="61">
        <f t="shared" si="1"/>
        <v>-60368.56858938474</v>
      </c>
      <c r="F42" s="30" t="str">
        <f t="shared" si="3"/>
        <v>Lifetime Savings</v>
      </c>
    </row>
    <row r="43" spans="1:7" ht="13.4" customHeight="1">
      <c r="A43" s="14">
        <v>27</v>
      </c>
      <c r="B43" s="15">
        <f t="shared" si="0"/>
        <v>-63776.622201172431</v>
      </c>
      <c r="C43" s="38">
        <f t="shared" si="2"/>
        <v>0.18407599257894269</v>
      </c>
      <c r="D43" s="16">
        <f t="shared" si="4"/>
        <v>3407.869535795116</v>
      </c>
      <c r="E43" s="61">
        <f t="shared" si="1"/>
        <v>-63776.622201172431</v>
      </c>
      <c r="F43" s="30" t="str">
        <f t="shared" si="3"/>
        <v>Lifetime Savings</v>
      </c>
    </row>
    <row r="44" spans="1:7" ht="13.4" customHeight="1">
      <c r="A44" s="14">
        <v>28</v>
      </c>
      <c r="B44" s="15">
        <f t="shared" si="0"/>
        <v>-67252.83688519588</v>
      </c>
      <c r="C44" s="38">
        <f t="shared" si="2"/>
        <v>0.18775751243052155</v>
      </c>
      <c r="D44" s="16">
        <f t="shared" si="4"/>
        <v>3476.0269265110182</v>
      </c>
      <c r="E44" s="61">
        <f t="shared" si="1"/>
        <v>-67252.83688519588</v>
      </c>
      <c r="F44" s="30" t="str">
        <f t="shared" si="3"/>
        <v>Lifetime Savings</v>
      </c>
      <c r="G44" s="2"/>
    </row>
    <row r="45" spans="1:7" ht="13.4" customHeight="1">
      <c r="A45" s="14">
        <v>29</v>
      </c>
      <c r="B45" s="15">
        <f t="shared" si="0"/>
        <v>-70798.575862899801</v>
      </c>
      <c r="C45" s="38">
        <f t="shared" si="2"/>
        <v>0.19151266267913197</v>
      </c>
      <c r="D45" s="16">
        <f t="shared" si="4"/>
        <v>3545.5474650412389</v>
      </c>
      <c r="E45" s="61">
        <f t="shared" si="1"/>
        <v>-70798.575862899801</v>
      </c>
      <c r="F45" s="30" t="str">
        <f t="shared" si="3"/>
        <v>Lifetime Savings</v>
      </c>
    </row>
    <row r="46" spans="1:7" ht="13.4" customHeight="1">
      <c r="A46" s="14">
        <v>30</v>
      </c>
      <c r="B46" s="15">
        <f t="shared" si="0"/>
        <v>-74415.229620157799</v>
      </c>
      <c r="C46" s="38">
        <f t="shared" si="2"/>
        <v>0.19534291593271461</v>
      </c>
      <c r="D46" s="49">
        <f t="shared" si="4"/>
        <v>3616.4584143420634</v>
      </c>
      <c r="E46" s="62">
        <f t="shared" si="1"/>
        <v>-74415.229620157799</v>
      </c>
      <c r="F46" s="30" t="str">
        <f t="shared" si="3"/>
        <v>Lifetime Savings</v>
      </c>
    </row>
    <row r="47" spans="1:7">
      <c r="D47" s="32" t="s">
        <v>13</v>
      </c>
      <c r="E47" s="60">
        <f>SUM(D17:D46)-F8</f>
        <v>74410.767131445231</v>
      </c>
    </row>
  </sheetData>
  <mergeCells count="10">
    <mergeCell ref="A10:B11"/>
    <mergeCell ref="C10:F10"/>
    <mergeCell ref="C11:C12"/>
    <mergeCell ref="E11:E12"/>
    <mergeCell ref="A3:C3"/>
    <mergeCell ref="E3:F3"/>
    <mergeCell ref="A4:B4"/>
    <mergeCell ref="A5:B5"/>
    <mergeCell ref="A6:B6"/>
    <mergeCell ref="A8:E8"/>
  </mergeCells>
  <conditionalFormatting sqref="E17:E46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B16:B46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7:F46">
    <cfRule type="containsText" dxfId="5" priority="4" operator="containsText" text="Lifetime Savings">
      <formula>NOT(ISERROR(SEARCH("Lifetime Savings",F17)))</formula>
    </cfRule>
    <cfRule type="containsText" dxfId="4" priority="5" operator="containsText" text="Lifetime Savngs">
      <formula>NOT(ISERROR(SEARCH("Lifetime Savngs",F17)))</formula>
    </cfRule>
    <cfRule type="containsText" dxfId="3" priority="6" operator="containsText" text="Payback Period">
      <formula>NOT(ISERROR(SEARCH("Payback Period",F17)))</formula>
    </cfRule>
  </conditionalFormatting>
  <conditionalFormatting sqref="A10:B11">
    <cfRule type="expression" dxfId="2" priority="1">
      <formula>$C$5=0</formula>
    </cfRule>
    <cfRule type="cellIs" dxfId="1" priority="3" operator="greaterThan">
      <formula>0</formula>
    </cfRule>
  </conditionalFormatting>
  <conditionalFormatting sqref="C10:F46 D47:E47 A12:B46">
    <cfRule type="expression" dxfId="0" priority="2">
      <formula>$C$5=0</formula>
    </cfRule>
  </conditionalFormatting>
  <pageMargins left="0.7" right="0.7" top="1.7916666666666667" bottom="0.89583333333333337" header="0.3" footer="0.3"/>
  <pageSetup paperSize="9" orientation="portrait" verticalDpi="1200" r:id="rId1"/>
  <headerFooter>
    <oddHeader>&amp;C&amp;G</oddHeader>
    <oddFooter>&amp;C&amp;"-,Bold"&amp;K03+000Telephone:&amp;"-,Regular" 0113 271 7588 
&amp;"-,Bold"Email:&amp;"-,Regular" info@wilsonpowersolutions.co.uk 
&amp;"-,Bold"Address: &amp;"-,Regular"Westland Works, Westland Square, Leeds, LS11 5SS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Data!$C$5:$C$13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C1:X44"/>
  <sheetViews>
    <sheetView workbookViewId="0">
      <selection activeCell="F8" sqref="F8"/>
    </sheetView>
  </sheetViews>
  <sheetFormatPr defaultRowHeight="14.5"/>
  <cols>
    <col min="4" max="4" width="11.26953125" bestFit="1" customWidth="1"/>
    <col min="5" max="5" width="14.453125" bestFit="1" customWidth="1"/>
    <col min="6" max="6" width="11.26953125" bestFit="1" customWidth="1"/>
    <col min="7" max="7" width="14.453125" bestFit="1" customWidth="1"/>
    <col min="8" max="8" width="15.7265625" customWidth="1"/>
    <col min="9" max="9" width="16.54296875" customWidth="1"/>
    <col min="10" max="10" width="11.26953125" bestFit="1" customWidth="1"/>
    <col min="11" max="11" width="14.453125" bestFit="1" customWidth="1"/>
    <col min="12" max="12" width="11.26953125" bestFit="1" customWidth="1"/>
    <col min="13" max="13" width="14.453125" bestFit="1" customWidth="1"/>
    <col min="14" max="14" width="11.26953125" bestFit="1" customWidth="1"/>
    <col min="15" max="15" width="14.453125" bestFit="1" customWidth="1"/>
    <col min="16" max="16" width="11.26953125" bestFit="1" customWidth="1"/>
    <col min="17" max="17" width="14.453125" bestFit="1" customWidth="1"/>
    <col min="19" max="19" width="14.453125" bestFit="1" customWidth="1"/>
  </cols>
  <sheetData>
    <row r="1" spans="3:19" ht="15" thickBot="1"/>
    <row r="2" spans="3:19" ht="15" thickBot="1">
      <c r="C2" s="149" t="s">
        <v>14</v>
      </c>
      <c r="D2" s="143" t="s">
        <v>46</v>
      </c>
      <c r="E2" s="144"/>
      <c r="F2" s="143">
        <v>2015</v>
      </c>
      <c r="G2" s="144"/>
      <c r="H2" s="139" t="s">
        <v>37</v>
      </c>
      <c r="I2" s="140"/>
      <c r="J2" s="139" t="s">
        <v>38</v>
      </c>
      <c r="K2" s="140"/>
      <c r="L2" s="139" t="s">
        <v>39</v>
      </c>
      <c r="M2" s="140"/>
      <c r="N2" s="143" t="s">
        <v>49</v>
      </c>
      <c r="O2" s="144"/>
      <c r="P2" s="143" t="s">
        <v>55</v>
      </c>
      <c r="Q2" s="144"/>
      <c r="R2" s="143">
        <v>2018</v>
      </c>
      <c r="S2" s="144"/>
    </row>
    <row r="3" spans="3:19" ht="15" thickBot="1">
      <c r="C3" s="150"/>
      <c r="D3" s="137" t="s">
        <v>33</v>
      </c>
      <c r="E3" s="138"/>
      <c r="F3" s="137" t="s">
        <v>36</v>
      </c>
      <c r="G3" s="152"/>
      <c r="H3" s="141"/>
      <c r="I3" s="142"/>
      <c r="J3" s="141"/>
      <c r="K3" s="142"/>
      <c r="L3" s="141"/>
      <c r="M3" s="142"/>
      <c r="N3" s="137" t="s">
        <v>33</v>
      </c>
      <c r="O3" s="138"/>
      <c r="P3" s="145" t="s">
        <v>54</v>
      </c>
      <c r="Q3" s="146"/>
      <c r="R3" s="145" t="s">
        <v>61</v>
      </c>
      <c r="S3" s="146"/>
    </row>
    <row r="4" spans="3:19" ht="15" thickBot="1">
      <c r="C4" s="151"/>
      <c r="D4" s="46" t="s">
        <v>34</v>
      </c>
      <c r="E4" s="47" t="s">
        <v>35</v>
      </c>
      <c r="F4" s="46" t="s">
        <v>34</v>
      </c>
      <c r="G4" s="47" t="s">
        <v>35</v>
      </c>
      <c r="H4" s="46" t="s">
        <v>34</v>
      </c>
      <c r="I4" s="47" t="s">
        <v>35</v>
      </c>
      <c r="J4" s="46" t="s">
        <v>34</v>
      </c>
      <c r="K4" s="47" t="s">
        <v>35</v>
      </c>
      <c r="L4" s="46" t="s">
        <v>34</v>
      </c>
      <c r="M4" s="47" t="s">
        <v>35</v>
      </c>
      <c r="N4" s="46" t="s">
        <v>34</v>
      </c>
      <c r="O4" s="47" t="s">
        <v>35</v>
      </c>
      <c r="P4" s="46" t="s">
        <v>34</v>
      </c>
      <c r="Q4" s="47" t="s">
        <v>35</v>
      </c>
      <c r="R4" s="46" t="s">
        <v>34</v>
      </c>
      <c r="S4" s="47" t="s">
        <v>35</v>
      </c>
    </row>
    <row r="5" spans="3:19">
      <c r="C5" s="63">
        <v>315</v>
      </c>
      <c r="D5" s="50">
        <v>5350</v>
      </c>
      <c r="E5" s="51">
        <v>600</v>
      </c>
      <c r="F5" s="50">
        <v>2800</v>
      </c>
      <c r="G5" s="51">
        <v>200</v>
      </c>
      <c r="H5" s="82">
        <f>F5*H17</f>
        <v>5384.6153846153838</v>
      </c>
      <c r="I5" s="70">
        <f>G5*I17</f>
        <v>1086</v>
      </c>
      <c r="J5" s="82">
        <f>$F$5*J17</f>
        <v>5584.6153846153848</v>
      </c>
      <c r="K5" s="70">
        <f>$G$5*K17</f>
        <v>676</v>
      </c>
      <c r="L5" s="82">
        <f>$F$5*L17</f>
        <v>5684.6153846153848</v>
      </c>
      <c r="M5" s="113">
        <f>$G$5*M17</f>
        <v>529.99999999999989</v>
      </c>
      <c r="N5" s="64">
        <v>3900</v>
      </c>
      <c r="O5" s="65">
        <v>360</v>
      </c>
      <c r="P5" s="78">
        <v>2800</v>
      </c>
      <c r="Q5" s="79">
        <v>324</v>
      </c>
      <c r="R5" s="116">
        <v>2520</v>
      </c>
      <c r="S5" s="117">
        <v>180</v>
      </c>
    </row>
    <row r="6" spans="3:19">
      <c r="C6" s="44">
        <v>500</v>
      </c>
      <c r="D6" s="43">
        <v>7400</v>
      </c>
      <c r="E6" s="54">
        <v>900</v>
      </c>
      <c r="F6" s="43">
        <v>3900</v>
      </c>
      <c r="G6" s="54">
        <v>300</v>
      </c>
      <c r="H6" s="87">
        <v>7600</v>
      </c>
      <c r="I6" s="88">
        <v>1660</v>
      </c>
      <c r="J6" s="87">
        <v>7600</v>
      </c>
      <c r="K6" s="88">
        <v>1030</v>
      </c>
      <c r="L6" s="87">
        <v>7600</v>
      </c>
      <c r="M6" s="88">
        <v>800</v>
      </c>
      <c r="N6" s="43">
        <v>5500</v>
      </c>
      <c r="O6" s="68">
        <v>510</v>
      </c>
      <c r="P6" s="43">
        <v>3900</v>
      </c>
      <c r="Q6" s="68">
        <v>459</v>
      </c>
      <c r="R6" s="43">
        <v>3510</v>
      </c>
      <c r="S6" s="68">
        <v>270</v>
      </c>
    </row>
    <row r="7" spans="3:19">
      <c r="C7" s="44">
        <v>800</v>
      </c>
      <c r="D7" s="43">
        <v>11000</v>
      </c>
      <c r="E7" s="54">
        <v>1150</v>
      </c>
      <c r="F7" s="43">
        <v>6000</v>
      </c>
      <c r="G7" s="54">
        <v>425</v>
      </c>
      <c r="H7" s="84">
        <f>F7*H19</f>
        <v>11846.153846153848</v>
      </c>
      <c r="I7" s="100">
        <f>G7*I19</f>
        <v>2395.5833333333335</v>
      </c>
      <c r="J7" s="84">
        <f>F7*J19</f>
        <v>11417.582417582416</v>
      </c>
      <c r="K7" s="100">
        <f>$G$7*K19</f>
        <v>1481.8333333333333</v>
      </c>
      <c r="L7" s="84">
        <f>F7*L19</f>
        <v>11203.296703296703</v>
      </c>
      <c r="M7" s="100">
        <f>G7*M19</f>
        <v>1140.4166666666667</v>
      </c>
      <c r="N7" s="43">
        <v>8400</v>
      </c>
      <c r="O7" s="68">
        <v>650</v>
      </c>
      <c r="P7" s="43">
        <v>6000</v>
      </c>
      <c r="Q7" s="68">
        <v>585</v>
      </c>
      <c r="R7" s="43">
        <v>5400</v>
      </c>
      <c r="S7" s="68">
        <v>382</v>
      </c>
    </row>
    <row r="8" spans="3:19">
      <c r="C8" s="44">
        <v>1000</v>
      </c>
      <c r="D8" s="43">
        <v>12500</v>
      </c>
      <c r="E8" s="54">
        <v>1350</v>
      </c>
      <c r="F8" s="43">
        <v>7000</v>
      </c>
      <c r="G8" s="54">
        <v>500</v>
      </c>
      <c r="H8" s="87">
        <v>14000</v>
      </c>
      <c r="I8" s="88">
        <v>2870</v>
      </c>
      <c r="J8" s="87">
        <v>13000</v>
      </c>
      <c r="K8" s="88">
        <v>1770</v>
      </c>
      <c r="L8" s="87">
        <v>12500</v>
      </c>
      <c r="M8" s="88">
        <v>1350</v>
      </c>
      <c r="N8" s="43">
        <v>10500</v>
      </c>
      <c r="O8" s="68">
        <v>770</v>
      </c>
      <c r="P8" s="43">
        <v>7600</v>
      </c>
      <c r="Q8" s="68">
        <v>693</v>
      </c>
      <c r="R8" s="43">
        <v>6840</v>
      </c>
      <c r="S8" s="68">
        <v>450</v>
      </c>
    </row>
    <row r="9" spans="3:19">
      <c r="C9" s="44">
        <v>1250</v>
      </c>
      <c r="D9" s="43">
        <v>16000</v>
      </c>
      <c r="E9" s="54">
        <v>1575</v>
      </c>
      <c r="F9" s="43">
        <v>9500</v>
      </c>
      <c r="G9" s="54">
        <v>550</v>
      </c>
      <c r="H9" s="84">
        <f>F9*H21</f>
        <v>19243.589743589742</v>
      </c>
      <c r="I9" s="100">
        <f>G9*I21</f>
        <v>3213.8333333333335</v>
      </c>
      <c r="J9" s="84">
        <f>F9*J21</f>
        <v>17207.87545787546</v>
      </c>
      <c r="K9" s="100">
        <f>$G$9*K21</f>
        <v>1976.3333333333335</v>
      </c>
      <c r="L9" s="84">
        <f>F9*L21</f>
        <v>16190.018315018317</v>
      </c>
      <c r="M9" s="100">
        <f>G9*M21</f>
        <v>1494.1666666666667</v>
      </c>
      <c r="N9" s="43">
        <v>11000</v>
      </c>
      <c r="O9" s="68">
        <v>950</v>
      </c>
      <c r="P9" s="43">
        <v>9500</v>
      </c>
      <c r="Q9" s="68">
        <v>855</v>
      </c>
      <c r="R9" s="43">
        <v>8550</v>
      </c>
      <c r="S9" s="68">
        <v>505</v>
      </c>
    </row>
    <row r="10" spans="3:19">
      <c r="C10" s="44">
        <v>1500</v>
      </c>
      <c r="D10" s="43">
        <v>21000</v>
      </c>
      <c r="E10" s="54">
        <v>1700</v>
      </c>
      <c r="F10" s="43">
        <v>11285</v>
      </c>
      <c r="G10" s="54">
        <v>625</v>
      </c>
      <c r="H10" s="84">
        <f>F10*H22</f>
        <v>23148.717948717946</v>
      </c>
      <c r="I10" s="100">
        <f t="shared" ref="I10:I13" si="0">G10*I22</f>
        <v>3716.666666666667</v>
      </c>
      <c r="J10" s="84">
        <f>F10*J22</f>
        <v>19924.432234432239</v>
      </c>
      <c r="K10" s="100">
        <f>$G$10*K22</f>
        <v>2279.166666666667</v>
      </c>
      <c r="L10" s="84">
        <f t="shared" ref="L10:L13" si="1">F10*L22</f>
        <v>18312.28937728938</v>
      </c>
      <c r="M10" s="100">
        <f t="shared" ref="M10:M13" si="2">G10*M22</f>
        <v>1708.3333333333333</v>
      </c>
      <c r="N10" s="43">
        <v>13140</v>
      </c>
      <c r="O10" s="68">
        <v>1125</v>
      </c>
      <c r="P10" s="43"/>
      <c r="Q10" s="68"/>
      <c r="R10" s="43">
        <v>10152</v>
      </c>
      <c r="S10" s="68">
        <v>560</v>
      </c>
    </row>
    <row r="11" spans="3:19">
      <c r="C11" s="72">
        <v>1600</v>
      </c>
      <c r="D11" s="43">
        <v>21700</v>
      </c>
      <c r="E11" s="68">
        <v>1800</v>
      </c>
      <c r="F11" s="43">
        <v>12000</v>
      </c>
      <c r="G11" s="68">
        <v>630</v>
      </c>
      <c r="H11" s="84">
        <f>F11*H23</f>
        <v>24923.076923076918</v>
      </c>
      <c r="I11" s="100">
        <f t="shared" si="0"/>
        <v>3811.5000000000005</v>
      </c>
      <c r="J11" s="84">
        <f>F11*J23</f>
        <v>20637.362637362643</v>
      </c>
      <c r="K11" s="100">
        <f>$G$11*K23</f>
        <v>2331.0000000000005</v>
      </c>
      <c r="L11" s="84">
        <f t="shared" si="1"/>
        <v>18494.505494505498</v>
      </c>
      <c r="M11" s="100">
        <f t="shared" si="2"/>
        <v>1732.5</v>
      </c>
      <c r="N11" s="43">
        <v>14000</v>
      </c>
      <c r="O11" s="68">
        <v>1200</v>
      </c>
      <c r="P11" s="43">
        <v>12000</v>
      </c>
      <c r="Q11" s="68">
        <v>1080</v>
      </c>
      <c r="R11" s="43">
        <v>10800</v>
      </c>
      <c r="S11" s="68">
        <v>575</v>
      </c>
    </row>
    <row r="12" spans="3:19">
      <c r="C12" s="44">
        <v>2000</v>
      </c>
      <c r="D12" s="43">
        <v>24000</v>
      </c>
      <c r="E12" s="54">
        <v>2300</v>
      </c>
      <c r="F12" s="43">
        <v>15000</v>
      </c>
      <c r="G12" s="54">
        <v>850</v>
      </c>
      <c r="H12" s="84">
        <f>F12*H24</f>
        <v>31538.461538461532</v>
      </c>
      <c r="I12" s="100">
        <f t="shared" si="0"/>
        <v>5230.3333333333339</v>
      </c>
      <c r="J12" s="84">
        <f>F12*J24</f>
        <v>25109.890109890122</v>
      </c>
      <c r="K12" s="100">
        <f>$G$12*K24</f>
        <v>3190.3333333333344</v>
      </c>
      <c r="L12" s="84">
        <f t="shared" si="1"/>
        <v>21895.604395604401</v>
      </c>
      <c r="M12" s="100">
        <f t="shared" si="2"/>
        <v>2351.6666666666665</v>
      </c>
      <c r="N12" s="43">
        <v>18000</v>
      </c>
      <c r="O12" s="68">
        <v>1450</v>
      </c>
      <c r="P12" s="43">
        <v>1500</v>
      </c>
      <c r="Q12" s="68">
        <v>1305</v>
      </c>
      <c r="R12" s="43">
        <v>13500</v>
      </c>
      <c r="S12" s="68">
        <v>750</v>
      </c>
    </row>
    <row r="13" spans="3:19" ht="15" thickBot="1">
      <c r="C13" s="45">
        <v>2500</v>
      </c>
      <c r="D13" s="52">
        <v>28000</v>
      </c>
      <c r="E13" s="53">
        <v>3000</v>
      </c>
      <c r="F13" s="52">
        <v>18500</v>
      </c>
      <c r="G13" s="53">
        <v>900</v>
      </c>
      <c r="H13" s="83">
        <f>F13*H25</f>
        <v>39371.79487179486</v>
      </c>
      <c r="I13" s="101">
        <f t="shared" si="0"/>
        <v>5631.0000000000009</v>
      </c>
      <c r="J13" s="83">
        <f>F13*J25</f>
        <v>30121.794871794889</v>
      </c>
      <c r="K13" s="101">
        <f>$G$13*K25</f>
        <v>3426.0000000000014</v>
      </c>
      <c r="L13" s="83">
        <f t="shared" si="1"/>
        <v>25496.794871794878</v>
      </c>
      <c r="M13" s="101">
        <f t="shared" si="2"/>
        <v>2505</v>
      </c>
      <c r="N13" s="66">
        <v>22000</v>
      </c>
      <c r="O13" s="67">
        <v>1750</v>
      </c>
      <c r="P13" s="80">
        <v>18500</v>
      </c>
      <c r="Q13" s="81">
        <v>1575</v>
      </c>
      <c r="R13" s="118">
        <v>16650</v>
      </c>
      <c r="S13" s="119">
        <v>810</v>
      </c>
    </row>
    <row r="14" spans="3:19">
      <c r="C14" s="42"/>
      <c r="D14" s="42"/>
      <c r="E14" s="42"/>
      <c r="I14" t="s">
        <v>32</v>
      </c>
      <c r="J14" t="s">
        <v>32</v>
      </c>
    </row>
    <row r="15" spans="3:19">
      <c r="H15" s="85"/>
      <c r="I15" s="86"/>
    </row>
    <row r="16" spans="3:19" ht="15" thickBot="1">
      <c r="H16" s="148" t="s">
        <v>48</v>
      </c>
      <c r="I16" s="148"/>
      <c r="J16" s="148"/>
      <c r="K16" s="148"/>
      <c r="L16" s="148"/>
      <c r="M16" s="148"/>
    </row>
    <row r="17" spans="3:24">
      <c r="C17" t="s">
        <v>40</v>
      </c>
      <c r="G17" s="71">
        <v>315</v>
      </c>
      <c r="H17" s="90">
        <f t="shared" ref="H17:M17" si="3">H18-(H20-H18)/2</f>
        <v>1.9230769230769229</v>
      </c>
      <c r="I17" s="74">
        <f t="shared" si="3"/>
        <v>5.43</v>
      </c>
      <c r="J17" s="90">
        <f t="shared" si="3"/>
        <v>1.9945054945054945</v>
      </c>
      <c r="K17" s="74">
        <f t="shared" si="3"/>
        <v>3.38</v>
      </c>
      <c r="L17" s="90">
        <f t="shared" si="3"/>
        <v>2.0302197802197801</v>
      </c>
      <c r="M17" s="74">
        <f t="shared" si="3"/>
        <v>2.6499999999999995</v>
      </c>
    </row>
    <row r="18" spans="3:24">
      <c r="C18" t="s">
        <v>49</v>
      </c>
      <c r="D18" t="s">
        <v>56</v>
      </c>
      <c r="G18" s="89">
        <v>500</v>
      </c>
      <c r="H18" s="91">
        <f>H6/F6</f>
        <v>1.9487179487179487</v>
      </c>
      <c r="I18" s="92">
        <f>I6/G6</f>
        <v>5.5333333333333332</v>
      </c>
      <c r="J18" s="91">
        <f>J6/$F$6</f>
        <v>1.9487179487179487</v>
      </c>
      <c r="K18" s="103">
        <f>K6/$G$6</f>
        <v>3.4333333333333331</v>
      </c>
      <c r="L18" s="91">
        <f>L6/$F$6</f>
        <v>1.9487179487179487</v>
      </c>
      <c r="M18" s="103">
        <f>M6/$G$6</f>
        <v>2.6666666666666665</v>
      </c>
    </row>
    <row r="19" spans="3:24">
      <c r="C19" t="s">
        <v>46</v>
      </c>
      <c r="D19" t="s">
        <v>50</v>
      </c>
      <c r="G19" s="72">
        <v>800</v>
      </c>
      <c r="H19" s="93">
        <f t="shared" ref="H19:M19" si="4">H18+(H20-H18)/2</f>
        <v>1.9743589743589745</v>
      </c>
      <c r="I19" s="94">
        <f t="shared" si="4"/>
        <v>5.6366666666666667</v>
      </c>
      <c r="J19" s="93">
        <f t="shared" si="4"/>
        <v>1.9029304029304028</v>
      </c>
      <c r="K19" s="94">
        <f t="shared" si="4"/>
        <v>3.4866666666666664</v>
      </c>
      <c r="L19" s="93">
        <f t="shared" si="4"/>
        <v>1.8672161172161172</v>
      </c>
      <c r="M19" s="94">
        <f t="shared" si="4"/>
        <v>2.6833333333333336</v>
      </c>
    </row>
    <row r="20" spans="3:24">
      <c r="C20" t="str">
        <f>L2</f>
        <v>1990's</v>
      </c>
      <c r="D20" t="s">
        <v>43</v>
      </c>
      <c r="G20" s="89">
        <v>1000</v>
      </c>
      <c r="H20" s="95">
        <f>H8/F8</f>
        <v>2</v>
      </c>
      <c r="I20" s="96">
        <f>I8/G8</f>
        <v>5.74</v>
      </c>
      <c r="J20" s="102">
        <f>J8/$F$8</f>
        <v>1.8571428571428572</v>
      </c>
      <c r="K20" s="103">
        <f>K8/$G$8</f>
        <v>3.54</v>
      </c>
      <c r="L20" s="102">
        <f>L8/$F$8</f>
        <v>1.7857142857142858</v>
      </c>
      <c r="M20" s="103">
        <f>M8/$G$8</f>
        <v>2.7</v>
      </c>
      <c r="Q20" s="85">
        <v>1950</v>
      </c>
      <c r="R20" s="85">
        <v>1970</v>
      </c>
      <c r="S20" s="85">
        <v>1990</v>
      </c>
      <c r="T20" s="85" t="s">
        <v>63</v>
      </c>
      <c r="U20" t="s">
        <v>67</v>
      </c>
      <c r="V20" s="85" t="s">
        <v>64</v>
      </c>
      <c r="W20" t="s">
        <v>66</v>
      </c>
      <c r="X20" s="85" t="s">
        <v>65</v>
      </c>
    </row>
    <row r="21" spans="3:24">
      <c r="C21" t="str">
        <f>J2</f>
        <v>1970's</v>
      </c>
      <c r="D21" t="s">
        <v>44</v>
      </c>
      <c r="G21" s="72">
        <v>1250</v>
      </c>
      <c r="H21" s="97">
        <f t="shared" ref="H21:M21" si="5">H20+(H20-H19)</f>
        <v>2.0256410256410255</v>
      </c>
      <c r="I21" s="94">
        <f t="shared" si="5"/>
        <v>5.8433333333333337</v>
      </c>
      <c r="J21" s="97">
        <f t="shared" si="5"/>
        <v>1.8113553113553116</v>
      </c>
      <c r="K21" s="104">
        <f t="shared" si="5"/>
        <v>3.5933333333333337</v>
      </c>
      <c r="L21" s="97">
        <f t="shared" si="5"/>
        <v>1.7042124542124544</v>
      </c>
      <c r="M21" s="104">
        <f t="shared" si="5"/>
        <v>2.7166666666666668</v>
      </c>
      <c r="Q21" s="126">
        <f>H8+I8</f>
        <v>16870</v>
      </c>
      <c r="R21" s="126">
        <f>J8+K8</f>
        <v>14770</v>
      </c>
      <c r="S21" s="126">
        <f>L8+M8</f>
        <v>13850</v>
      </c>
      <c r="T21">
        <f>D8+E8</f>
        <v>13850</v>
      </c>
      <c r="U21">
        <f>N8+O8</f>
        <v>11270</v>
      </c>
      <c r="V21">
        <f>P8+Q8</f>
        <v>8293</v>
      </c>
      <c r="W21">
        <f>P8</f>
        <v>7600</v>
      </c>
      <c r="X21">
        <f>R8+S8</f>
        <v>7290</v>
      </c>
    </row>
    <row r="22" spans="3:24">
      <c r="C22" t="str">
        <f>H2</f>
        <v>1950's</v>
      </c>
      <c r="D22" t="s">
        <v>45</v>
      </c>
      <c r="G22" s="72">
        <v>1500</v>
      </c>
      <c r="H22" s="97">
        <f>H21+(H21-H20)</f>
        <v>2.0512820512820511</v>
      </c>
      <c r="I22" s="94">
        <f t="shared" ref="I22:I25" si="6">I21+(I21-I20)</f>
        <v>5.9466666666666672</v>
      </c>
      <c r="J22" s="97">
        <f>J21+(J21-J20)</f>
        <v>1.765567765567766</v>
      </c>
      <c r="K22" s="104">
        <f t="shared" ref="K22:K25" si="7">K21+(K21-K20)</f>
        <v>3.6466666666666674</v>
      </c>
      <c r="L22" s="97">
        <f>L21+(L21-L20)</f>
        <v>1.6227106227106229</v>
      </c>
      <c r="M22" s="104">
        <f t="shared" ref="M22:M25" si="8">M21+(M21-M20)</f>
        <v>2.7333333333333334</v>
      </c>
      <c r="Q22" s="126"/>
      <c r="R22" s="126"/>
      <c r="S22" s="126"/>
    </row>
    <row r="23" spans="3:24">
      <c r="G23" s="72">
        <v>1600</v>
      </c>
      <c r="H23" s="97">
        <f t="shared" ref="H23:H25" si="9">H22+(H22-H21)</f>
        <v>2.0769230769230766</v>
      </c>
      <c r="I23" s="94">
        <f t="shared" si="6"/>
        <v>6.0500000000000007</v>
      </c>
      <c r="J23" s="97">
        <f t="shared" ref="J23:J25" si="10">J22+(J22-J21)</f>
        <v>1.7197802197802203</v>
      </c>
      <c r="K23" s="104">
        <f t="shared" si="7"/>
        <v>3.7000000000000011</v>
      </c>
      <c r="L23" s="97">
        <f t="shared" ref="L23:L25" si="11">L22+(L22-L21)</f>
        <v>1.5412087912087915</v>
      </c>
      <c r="M23" s="104">
        <f t="shared" si="8"/>
        <v>2.75</v>
      </c>
      <c r="Q23" s="126"/>
      <c r="R23" s="126"/>
      <c r="S23" s="126"/>
    </row>
    <row r="24" spans="3:24">
      <c r="C24" t="s">
        <v>57</v>
      </c>
      <c r="D24" t="s">
        <v>56</v>
      </c>
      <c r="G24" s="72">
        <v>2000</v>
      </c>
      <c r="H24" s="97">
        <f t="shared" si="9"/>
        <v>2.1025641025641022</v>
      </c>
      <c r="I24" s="94">
        <f t="shared" si="6"/>
        <v>6.1533333333333342</v>
      </c>
      <c r="J24" s="97">
        <f t="shared" si="10"/>
        <v>1.6739926739926747</v>
      </c>
      <c r="K24" s="104">
        <f t="shared" si="7"/>
        <v>3.7533333333333347</v>
      </c>
      <c r="L24" s="97">
        <f t="shared" si="11"/>
        <v>1.4597069597069601</v>
      </c>
      <c r="M24" s="104">
        <f t="shared" si="8"/>
        <v>2.7666666666666666</v>
      </c>
    </row>
    <row r="25" spans="3:24" ht="15" thickBot="1">
      <c r="C25" t="s">
        <v>52</v>
      </c>
      <c r="D25" t="s">
        <v>53</v>
      </c>
      <c r="G25" s="73">
        <v>2500</v>
      </c>
      <c r="H25" s="98">
        <f t="shared" si="9"/>
        <v>2.1282051282051277</v>
      </c>
      <c r="I25" s="99">
        <f t="shared" si="6"/>
        <v>6.2566666666666677</v>
      </c>
      <c r="J25" s="98">
        <f t="shared" si="10"/>
        <v>1.6282051282051291</v>
      </c>
      <c r="K25" s="105">
        <f t="shared" si="7"/>
        <v>3.8066666666666684</v>
      </c>
      <c r="L25" s="98">
        <f t="shared" si="11"/>
        <v>1.3782051282051286</v>
      </c>
      <c r="M25" s="105">
        <f t="shared" si="8"/>
        <v>2.7833333333333332</v>
      </c>
      <c r="Q25" s="126"/>
      <c r="R25" s="126"/>
      <c r="S25" s="126"/>
    </row>
    <row r="26" spans="3:24">
      <c r="Q26" s="126"/>
      <c r="R26" s="126"/>
      <c r="S26" s="126"/>
    </row>
    <row r="27" spans="3:24">
      <c r="Q27" s="126"/>
      <c r="R27" s="126"/>
      <c r="S27" s="126"/>
    </row>
    <row r="28" spans="3:24">
      <c r="Q28" s="126"/>
      <c r="R28" s="126"/>
      <c r="S28" s="126"/>
    </row>
    <row r="29" spans="3:24">
      <c r="Q29" s="126"/>
      <c r="R29" s="126"/>
      <c r="S29" s="126"/>
    </row>
    <row r="30" spans="3:24">
      <c r="Q30" s="126"/>
    </row>
    <row r="32" spans="3:24" ht="15" thickBot="1"/>
    <row r="33" spans="3:6">
      <c r="C33" s="149" t="s">
        <v>14</v>
      </c>
      <c r="D33" s="139" t="s">
        <v>47</v>
      </c>
      <c r="E33" s="147"/>
      <c r="F33" s="140"/>
    </row>
    <row r="34" spans="3:6" ht="15" thickBot="1">
      <c r="C34" s="150"/>
      <c r="D34" s="141"/>
      <c r="E34" s="148"/>
      <c r="F34" s="142"/>
    </row>
    <row r="35" spans="3:6" ht="15" thickBot="1">
      <c r="C35" s="151"/>
      <c r="D35" s="110" t="s">
        <v>33</v>
      </c>
      <c r="E35" s="125" t="s">
        <v>42</v>
      </c>
      <c r="F35" s="115" t="s">
        <v>62</v>
      </c>
    </row>
    <row r="36" spans="3:6">
      <c r="C36" s="108">
        <v>315</v>
      </c>
      <c r="D36" s="111">
        <v>7550</v>
      </c>
      <c r="E36" s="123">
        <v>9995</v>
      </c>
      <c r="F36" s="122">
        <v>11995</v>
      </c>
    </row>
    <row r="37" spans="3:6">
      <c r="C37" s="108">
        <v>500</v>
      </c>
      <c r="D37" s="112">
        <v>9481</v>
      </c>
      <c r="E37" s="121">
        <v>12545</v>
      </c>
      <c r="F37" s="120">
        <v>14950</v>
      </c>
    </row>
    <row r="38" spans="3:6">
      <c r="C38" s="108">
        <v>800</v>
      </c>
      <c r="D38" s="112">
        <v>11630</v>
      </c>
      <c r="E38" s="121">
        <v>16115</v>
      </c>
      <c r="F38" s="120">
        <v>18825</v>
      </c>
    </row>
    <row r="39" spans="3:6">
      <c r="C39" s="108">
        <v>1000</v>
      </c>
      <c r="D39" s="112">
        <v>12545</v>
      </c>
      <c r="E39" s="121">
        <v>18260</v>
      </c>
      <c r="F39" s="120">
        <v>20750</v>
      </c>
    </row>
    <row r="40" spans="3:6">
      <c r="C40" s="108">
        <v>1250</v>
      </c>
      <c r="D40" s="112">
        <v>14995</v>
      </c>
      <c r="E40" s="121">
        <v>18970</v>
      </c>
      <c r="F40" s="120">
        <v>23250</v>
      </c>
    </row>
    <row r="41" spans="3:6">
      <c r="C41" s="108">
        <v>1500</v>
      </c>
      <c r="D41" s="112">
        <v>17240</v>
      </c>
      <c r="E41" s="121">
        <v>22150</v>
      </c>
      <c r="F41" s="120">
        <v>26200</v>
      </c>
    </row>
    <row r="42" spans="3:6">
      <c r="C42" s="108">
        <v>1600</v>
      </c>
      <c r="D42" s="112">
        <v>18155</v>
      </c>
      <c r="E42" s="121">
        <v>23155</v>
      </c>
      <c r="F42" s="120">
        <v>27500</v>
      </c>
    </row>
    <row r="43" spans="3:6">
      <c r="C43" s="108">
        <v>2000</v>
      </c>
      <c r="D43" s="112">
        <v>21115</v>
      </c>
      <c r="E43" s="121">
        <v>28355</v>
      </c>
      <c r="F43" s="120">
        <v>32600</v>
      </c>
    </row>
    <row r="44" spans="3:6" ht="15" thickBot="1">
      <c r="C44" s="109">
        <v>2500</v>
      </c>
      <c r="D44" s="75">
        <v>25400</v>
      </c>
      <c r="E44" s="124">
        <v>32130</v>
      </c>
      <c r="F44" s="76">
        <v>37250</v>
      </c>
    </row>
  </sheetData>
  <mergeCells count="17">
    <mergeCell ref="C33:C35"/>
    <mergeCell ref="C2:C4"/>
    <mergeCell ref="D2:E2"/>
    <mergeCell ref="F2:G2"/>
    <mergeCell ref="H2:I3"/>
    <mergeCell ref="H16:M16"/>
    <mergeCell ref="D3:E3"/>
    <mergeCell ref="F3:G3"/>
    <mergeCell ref="J2:K3"/>
    <mergeCell ref="N3:O3"/>
    <mergeCell ref="L2:M3"/>
    <mergeCell ref="R2:S2"/>
    <mergeCell ref="R3:S3"/>
    <mergeCell ref="D33:F34"/>
    <mergeCell ref="P3:Q3"/>
    <mergeCell ref="P2:Q2"/>
    <mergeCell ref="N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4"/>
  <sheetViews>
    <sheetView view="pageLayout" zoomScaleNormal="100" workbookViewId="0">
      <selection activeCell="E42" sqref="E42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4.81640625" style="4" bestFit="1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9" t="s">
        <v>18</v>
      </c>
      <c r="C1" s="10"/>
      <c r="D1" s="10"/>
      <c r="E1" s="10"/>
      <c r="F1" s="10"/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">
        <v>22</v>
      </c>
      <c r="B3" s="128"/>
      <c r="C3" s="128"/>
      <c r="D3" s="5"/>
      <c r="E3" s="128" t="s">
        <v>19</v>
      </c>
      <c r="F3" s="128"/>
      <c r="G3" s="3"/>
    </row>
    <row r="4" spans="1:7">
      <c r="A4" s="129" t="s">
        <v>0</v>
      </c>
      <c r="B4" s="129"/>
      <c r="C4" s="29">
        <v>9481</v>
      </c>
      <c r="D4" s="6"/>
      <c r="E4" s="8" t="s">
        <v>3</v>
      </c>
      <c r="F4" s="29">
        <v>12545</v>
      </c>
      <c r="G4" s="3"/>
    </row>
    <row r="5" spans="1:7" ht="14.25" customHeight="1">
      <c r="A5" s="129" t="s">
        <v>1</v>
      </c>
      <c r="B5" s="129"/>
      <c r="C5" s="7">
        <v>510</v>
      </c>
      <c r="D5" s="5"/>
      <c r="E5" s="8" t="s">
        <v>4</v>
      </c>
      <c r="F5" s="7">
        <v>300</v>
      </c>
      <c r="G5" s="3"/>
    </row>
    <row r="6" spans="1:7">
      <c r="A6" s="129" t="s">
        <v>2</v>
      </c>
      <c r="B6" s="129"/>
      <c r="C6" s="7">
        <v>5500</v>
      </c>
      <c r="D6" s="5"/>
      <c r="E6" s="8" t="s">
        <v>2</v>
      </c>
      <c r="F6" s="7">
        <v>3900</v>
      </c>
      <c r="G6" s="3"/>
    </row>
    <row r="7" spans="1:7" ht="7.5" customHeight="1">
      <c r="A7" s="35"/>
      <c r="B7" s="35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34">
        <f>F4-C4</f>
        <v>3064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1">
      <c r="A10" s="20" t="s">
        <v>5</v>
      </c>
      <c r="B10" s="20" t="s">
        <v>6</v>
      </c>
      <c r="C10" s="127" t="s">
        <v>8</v>
      </c>
      <c r="D10" s="127"/>
      <c r="E10" s="127"/>
      <c r="F10" s="127"/>
    </row>
    <row r="11" spans="1:7" ht="30" customHeight="1">
      <c r="A11" s="21"/>
      <c r="B11" s="22"/>
      <c r="C11" s="23" t="s">
        <v>23</v>
      </c>
      <c r="D11" s="23" t="s">
        <v>25</v>
      </c>
      <c r="E11" s="23" t="s">
        <v>26</v>
      </c>
      <c r="F11" s="23" t="s">
        <v>7</v>
      </c>
    </row>
    <row r="12" spans="1:7">
      <c r="A12" s="24"/>
      <c r="B12" s="14"/>
      <c r="C12" s="14"/>
      <c r="D12" s="25">
        <v>70</v>
      </c>
      <c r="E12" s="14"/>
      <c r="F12" s="14" t="s">
        <v>9</v>
      </c>
    </row>
    <row r="13" spans="1:7">
      <c r="A13" s="26">
        <f>C5-F5</f>
        <v>210</v>
      </c>
      <c r="B13" s="14">
        <f>C6-F6</f>
        <v>1600</v>
      </c>
      <c r="C13" s="16">
        <f>A13*24*365/1000</f>
        <v>1839.6</v>
      </c>
      <c r="D13" s="14">
        <f>(B13*24*365*((D12*D12)/10000/1000))</f>
        <v>6867.84</v>
      </c>
      <c r="E13" s="27">
        <f>D13+C13</f>
        <v>8707.44</v>
      </c>
      <c r="F13" s="28">
        <f>E13*0.000537</f>
        <v>4.6758952800000007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42">
      <c r="A15" s="13" t="s">
        <v>10</v>
      </c>
      <c r="B15" s="13" t="s">
        <v>27</v>
      </c>
      <c r="C15" s="13" t="s">
        <v>28</v>
      </c>
      <c r="D15" s="13" t="s">
        <v>29</v>
      </c>
      <c r="E15" s="13" t="s">
        <v>12</v>
      </c>
      <c r="F15" s="13" t="s">
        <v>11</v>
      </c>
    </row>
    <row r="16" spans="1:7">
      <c r="A16" s="14">
        <v>0</v>
      </c>
      <c r="B16" s="15">
        <f>F8</f>
        <v>3064</v>
      </c>
      <c r="C16" s="38"/>
      <c r="D16" s="14"/>
      <c r="E16" s="14"/>
      <c r="F16" s="14"/>
    </row>
    <row r="17" spans="1:6">
      <c r="A17" s="14">
        <v>1</v>
      </c>
      <c r="B17" s="15">
        <f>E17</f>
        <v>2106.0715999999998</v>
      </c>
      <c r="C17" s="39">
        <v>0.11</v>
      </c>
      <c r="D17" s="16">
        <f>C17*E13</f>
        <v>957.81840000000011</v>
      </c>
      <c r="E17" s="17">
        <f>B16-C17-D17</f>
        <v>2106.0715999999998</v>
      </c>
      <c r="F17" s="30" t="str">
        <f>IF(E17&gt;0,"Payback Period","Lifetime Savings")</f>
        <v>Payback Period</v>
      </c>
    </row>
    <row r="18" spans="1:6">
      <c r="A18" s="14">
        <v>2</v>
      </c>
      <c r="B18" s="15">
        <f t="shared" ref="B18:B41" si="0">E18</f>
        <v>1128.9846319999997</v>
      </c>
      <c r="C18" s="38">
        <f>C17+(C17*2%)</f>
        <v>0.11219999999999999</v>
      </c>
      <c r="D18" s="16">
        <f>C18*E13</f>
        <v>976.97476800000004</v>
      </c>
      <c r="E18" s="17">
        <f t="shared" ref="E18:E41" si="1">B17-C18-D18</f>
        <v>1128.9846319999997</v>
      </c>
      <c r="F18" s="30" t="str">
        <f>IF(E18&gt;0,"Payback Period","Lifetime Savings")</f>
        <v>Payback Period</v>
      </c>
    </row>
    <row r="19" spans="1:6">
      <c r="A19" s="14">
        <v>3</v>
      </c>
      <c r="B19" s="15">
        <f t="shared" si="0"/>
        <v>132.35592463999967</v>
      </c>
      <c r="C19" s="38">
        <f t="shared" ref="C19:C41" si="2">C18+(C18*2%)</f>
        <v>0.11444399999999999</v>
      </c>
      <c r="D19" s="16">
        <f>C19*E13</f>
        <v>996.51426335999997</v>
      </c>
      <c r="E19" s="17">
        <f t="shared" si="1"/>
        <v>132.35592463999967</v>
      </c>
      <c r="F19" s="30" t="str">
        <f t="shared" ref="F19:F41" si="3">IF(E19&gt;0,"Payback Period","Lifetime Savings")</f>
        <v>Payback Period</v>
      </c>
    </row>
    <row r="20" spans="1:6">
      <c r="A20" s="14">
        <v>4</v>
      </c>
      <c r="B20" s="15">
        <f t="shared" si="0"/>
        <v>-884.20535686720018</v>
      </c>
      <c r="C20" s="38">
        <f t="shared" si="2"/>
        <v>0.11673287999999998</v>
      </c>
      <c r="D20" s="16">
        <f>C20*E13</f>
        <v>1016.4445486271999</v>
      </c>
      <c r="E20" s="17">
        <f t="shared" si="1"/>
        <v>-884.20535686720018</v>
      </c>
      <c r="F20" s="30" t="str">
        <f t="shared" si="3"/>
        <v>Lifetime Savings</v>
      </c>
    </row>
    <row r="21" spans="1:6">
      <c r="A21" s="14">
        <v>5</v>
      </c>
      <c r="B21" s="15">
        <f t="shared" si="0"/>
        <v>-1921.0978640045441</v>
      </c>
      <c r="C21" s="38">
        <f t="shared" si="2"/>
        <v>0.11906753759999998</v>
      </c>
      <c r="D21" s="16">
        <f>C21*E13</f>
        <v>1036.7734395997438</v>
      </c>
      <c r="E21" s="17">
        <f t="shared" si="1"/>
        <v>-1921.0978640045441</v>
      </c>
      <c r="F21" s="30" t="str">
        <f t="shared" si="3"/>
        <v>Lifetime Savings</v>
      </c>
    </row>
    <row r="22" spans="1:6">
      <c r="A22" s="14">
        <v>6</v>
      </c>
      <c r="B22" s="15">
        <f t="shared" si="0"/>
        <v>-2978.7282212846349</v>
      </c>
      <c r="C22" s="38">
        <f t="shared" si="2"/>
        <v>0.12144888835199998</v>
      </c>
      <c r="D22" s="16">
        <f>C22*E13</f>
        <v>1057.5089083917387</v>
      </c>
      <c r="E22" s="17">
        <f t="shared" si="1"/>
        <v>-2978.7282212846349</v>
      </c>
      <c r="F22" s="30" t="str">
        <f t="shared" si="3"/>
        <v>Lifetime Savings</v>
      </c>
    </row>
    <row r="23" spans="1:6">
      <c r="A23" s="14">
        <v>7</v>
      </c>
      <c r="B23" s="15">
        <f t="shared" si="0"/>
        <v>-4057.5111857103275</v>
      </c>
      <c r="C23" s="38">
        <f t="shared" si="2"/>
        <v>0.12387786611903998</v>
      </c>
      <c r="D23" s="16">
        <f>C23*E13</f>
        <v>1078.6590865595736</v>
      </c>
      <c r="E23" s="17">
        <f t="shared" si="1"/>
        <v>-4057.5111857103275</v>
      </c>
      <c r="F23" s="30" t="str">
        <f t="shared" si="3"/>
        <v>Lifetime Savings</v>
      </c>
    </row>
    <row r="24" spans="1:6">
      <c r="A24" s="14">
        <v>8</v>
      </c>
      <c r="B24" s="15">
        <f t="shared" si="0"/>
        <v>-5157.8698094245337</v>
      </c>
      <c r="C24" s="38">
        <f t="shared" si="2"/>
        <v>0.12635542344142078</v>
      </c>
      <c r="D24" s="16">
        <f>C24*E13</f>
        <v>1100.232268290765</v>
      </c>
      <c r="E24" s="17">
        <f t="shared" si="1"/>
        <v>-5157.8698094245337</v>
      </c>
      <c r="F24" s="30" t="str">
        <f t="shared" si="3"/>
        <v>Lifetime Savings</v>
      </c>
    </row>
    <row r="25" spans="1:6">
      <c r="A25" s="14">
        <v>9</v>
      </c>
      <c r="B25" s="15">
        <f t="shared" si="0"/>
        <v>-6280.2356056130247</v>
      </c>
      <c r="C25" s="38">
        <f t="shared" si="2"/>
        <v>0.1288825319102492</v>
      </c>
      <c r="D25" s="16">
        <f>C25*E13</f>
        <v>1122.2369136565803</v>
      </c>
      <c r="E25" s="17">
        <f t="shared" si="1"/>
        <v>-6280.2356056130247</v>
      </c>
      <c r="F25" s="30" t="str">
        <f t="shared" si="3"/>
        <v>Lifetime Savings</v>
      </c>
    </row>
    <row r="26" spans="1:6">
      <c r="A26" s="14">
        <v>10</v>
      </c>
      <c r="B26" s="15">
        <f t="shared" si="0"/>
        <v>-7425.0487177252853</v>
      </c>
      <c r="C26" s="38">
        <f t="shared" si="2"/>
        <v>0.13146018254845418</v>
      </c>
      <c r="D26" s="16">
        <f>C26*E13</f>
        <v>1144.681651929712</v>
      </c>
      <c r="E26" s="17">
        <f t="shared" si="1"/>
        <v>-7425.0487177252853</v>
      </c>
      <c r="F26" s="30" t="str">
        <f t="shared" si="3"/>
        <v>Lifetime Savings</v>
      </c>
    </row>
    <row r="27" spans="1:6">
      <c r="A27" s="14">
        <v>11</v>
      </c>
      <c r="B27" s="15">
        <f t="shared" si="0"/>
        <v>-8592.7580920797918</v>
      </c>
      <c r="C27" s="38">
        <f t="shared" si="2"/>
        <v>0.13408938619942326</v>
      </c>
      <c r="D27" s="16">
        <f>C27*E13</f>
        <v>1167.5752849683061</v>
      </c>
      <c r="E27" s="17">
        <f t="shared" si="1"/>
        <v>-8592.7580920797918</v>
      </c>
      <c r="F27" s="30" t="str">
        <f t="shared" si="3"/>
        <v>Lifetime Savings</v>
      </c>
    </row>
    <row r="28" spans="1:6">
      <c r="A28" s="14">
        <v>12</v>
      </c>
      <c r="B28" s="15">
        <f t="shared" si="0"/>
        <v>-9783.8216539213881</v>
      </c>
      <c r="C28" s="38">
        <f t="shared" si="2"/>
        <v>0.13677117392341173</v>
      </c>
      <c r="D28" s="16">
        <f>C28*E13</f>
        <v>1190.9267906676723</v>
      </c>
      <c r="E28" s="17">
        <f t="shared" si="1"/>
        <v>-9783.8216539213881</v>
      </c>
      <c r="F28" s="30" t="str">
        <f t="shared" si="3"/>
        <v>Lifetime Savings</v>
      </c>
    </row>
    <row r="29" spans="1:6">
      <c r="A29" s="14">
        <v>13</v>
      </c>
      <c r="B29" s="15">
        <f t="shared" si="0"/>
        <v>-10998.706486999814</v>
      </c>
      <c r="C29" s="38">
        <f t="shared" si="2"/>
        <v>0.13950659740187996</v>
      </c>
      <c r="D29" s="16">
        <f>C29*E13</f>
        <v>1214.7453264810256</v>
      </c>
      <c r="E29" s="17">
        <f t="shared" si="1"/>
        <v>-10998.706486999814</v>
      </c>
      <c r="F29" s="30" t="str">
        <f t="shared" si="3"/>
        <v>Lifetime Savings</v>
      </c>
    </row>
    <row r="30" spans="1:6">
      <c r="A30" s="14">
        <v>14</v>
      </c>
      <c r="B30" s="15">
        <f t="shared" si="0"/>
        <v>-12237.889016739809</v>
      </c>
      <c r="C30" s="38">
        <f t="shared" si="2"/>
        <v>0.14229672934991755</v>
      </c>
      <c r="D30" s="16">
        <f>C30*E13</f>
        <v>1239.040233010646</v>
      </c>
      <c r="E30" s="17">
        <f t="shared" si="1"/>
        <v>-12237.889016739809</v>
      </c>
      <c r="F30" s="30" t="str">
        <f t="shared" si="3"/>
        <v>Lifetime Savings</v>
      </c>
    </row>
    <row r="31" spans="1:6">
      <c r="A31" s="14">
        <v>15</v>
      </c>
      <c r="B31" s="15">
        <f t="shared" si="0"/>
        <v>-13501.855197074607</v>
      </c>
      <c r="C31" s="38">
        <f t="shared" si="2"/>
        <v>0.14514266393691591</v>
      </c>
      <c r="D31" s="16">
        <f>C31*E13</f>
        <v>1263.8210376708591</v>
      </c>
      <c r="E31" s="17">
        <f t="shared" si="1"/>
        <v>-13501.855197074607</v>
      </c>
      <c r="F31" s="30" t="str">
        <f t="shared" si="3"/>
        <v>Lifetime Savings</v>
      </c>
    </row>
    <row r="32" spans="1:6">
      <c r="A32" s="14">
        <v>16</v>
      </c>
      <c r="B32" s="15">
        <f t="shared" si="0"/>
        <v>-14791.100701016097</v>
      </c>
      <c r="C32" s="38">
        <f t="shared" si="2"/>
        <v>0.14804551721565423</v>
      </c>
      <c r="D32" s="16">
        <f>C32*E13</f>
        <v>1289.0974584242763</v>
      </c>
      <c r="E32" s="17">
        <f t="shared" si="1"/>
        <v>-14791.100701016097</v>
      </c>
      <c r="F32" s="30" t="str">
        <f t="shared" si="3"/>
        <v>Lifetime Savings</v>
      </c>
    </row>
    <row r="33" spans="1:7">
      <c r="A33" s="14">
        <v>17</v>
      </c>
      <c r="B33" s="15">
        <f t="shared" si="0"/>
        <v>-16106.13111503642</v>
      </c>
      <c r="C33" s="38">
        <f t="shared" si="2"/>
        <v>0.15100642755996732</v>
      </c>
      <c r="D33" s="16">
        <f>C33*E13</f>
        <v>1314.8794075927619</v>
      </c>
      <c r="E33" s="17">
        <f t="shared" si="1"/>
        <v>-16106.13111503642</v>
      </c>
      <c r="F33" s="30" t="str">
        <f t="shared" si="3"/>
        <v>Lifetime Savings</v>
      </c>
    </row>
    <row r="34" spans="1:7">
      <c r="A34" s="14">
        <v>18</v>
      </c>
      <c r="B34" s="15">
        <f t="shared" si="0"/>
        <v>-17447.462137337148</v>
      </c>
      <c r="C34" s="38">
        <f t="shared" si="2"/>
        <v>0.15402655611116667</v>
      </c>
      <c r="D34" s="16">
        <f>C34*E13</f>
        <v>1341.1769957446172</v>
      </c>
      <c r="E34" s="17">
        <f t="shared" si="1"/>
        <v>-17447.462137337148</v>
      </c>
      <c r="F34" s="30" t="str">
        <f t="shared" si="3"/>
        <v>Lifetime Savings</v>
      </c>
    </row>
    <row r="35" spans="1:7">
      <c r="A35" s="14">
        <v>19</v>
      </c>
      <c r="B35" s="15">
        <f t="shared" si="0"/>
        <v>-18815.619780083893</v>
      </c>
      <c r="C35" s="38">
        <f t="shared" si="2"/>
        <v>0.15710708723339001</v>
      </c>
      <c r="D35" s="16">
        <f>C35*E13</f>
        <v>1368.0005356595095</v>
      </c>
      <c r="E35" s="17">
        <f t="shared" si="1"/>
        <v>-18815.619780083893</v>
      </c>
      <c r="F35" s="30" t="str">
        <f t="shared" si="3"/>
        <v>Lifetime Savings</v>
      </c>
    </row>
    <row r="36" spans="1:7">
      <c r="A36" s="14">
        <v>20</v>
      </c>
      <c r="B36" s="15">
        <f t="shared" si="0"/>
        <v>-20211.140575685571</v>
      </c>
      <c r="C36" s="38">
        <f t="shared" si="2"/>
        <v>0.16024922897805779</v>
      </c>
      <c r="D36" s="16">
        <f>C36*E13</f>
        <v>1395.3605463726997</v>
      </c>
      <c r="E36" s="17">
        <f t="shared" si="1"/>
        <v>-20211.140575685571</v>
      </c>
      <c r="F36" s="30" t="str">
        <f t="shared" si="3"/>
        <v>Lifetime Savings</v>
      </c>
    </row>
    <row r="37" spans="1:7">
      <c r="A37" s="14">
        <v>21</v>
      </c>
      <c r="B37" s="15">
        <f t="shared" si="0"/>
        <v>-21634.571787199282</v>
      </c>
      <c r="C37" s="38">
        <f t="shared" si="2"/>
        <v>0.16345421355761894</v>
      </c>
      <c r="D37" s="16">
        <f>C37*E13</f>
        <v>1423.2677573001536</v>
      </c>
      <c r="E37" s="17">
        <f t="shared" si="1"/>
        <v>-21634.571787199282</v>
      </c>
      <c r="F37" s="30" t="str">
        <f t="shared" si="3"/>
        <v>Lifetime Savings</v>
      </c>
    </row>
    <row r="38" spans="1:7">
      <c r="A38" s="14">
        <v>22</v>
      </c>
      <c r="B38" s="15">
        <f t="shared" si="0"/>
        <v>-23086.471622943267</v>
      </c>
      <c r="C38" s="38">
        <f t="shared" si="2"/>
        <v>0.16672329782877132</v>
      </c>
      <c r="D38" s="16">
        <f>C38*E13</f>
        <v>1451.7331124461566</v>
      </c>
      <c r="E38" s="17">
        <f t="shared" si="1"/>
        <v>-23086.471622943267</v>
      </c>
      <c r="F38" s="30" t="str">
        <f t="shared" si="3"/>
        <v>Lifetime Savings</v>
      </c>
    </row>
    <row r="39" spans="1:7">
      <c r="A39" s="14">
        <v>23</v>
      </c>
      <c r="B39" s="15">
        <f t="shared" si="0"/>
        <v>-24567.409455402132</v>
      </c>
      <c r="C39" s="38">
        <f t="shared" si="2"/>
        <v>0.17005776378534676</v>
      </c>
      <c r="D39" s="16">
        <f>C39*E13</f>
        <v>1480.7677746950799</v>
      </c>
      <c r="E39" s="17">
        <f t="shared" si="1"/>
        <v>-24567.409455402132</v>
      </c>
      <c r="F39" s="30" t="str">
        <f t="shared" si="3"/>
        <v>Lifetime Savings</v>
      </c>
    </row>
    <row r="40" spans="1:7">
      <c r="A40" s="14">
        <v>24</v>
      </c>
      <c r="B40" s="15">
        <f t="shared" si="0"/>
        <v>-26077.966044510173</v>
      </c>
      <c r="C40" s="38">
        <f t="shared" si="2"/>
        <v>0.17345891906105371</v>
      </c>
      <c r="D40" s="16">
        <f>C40*E13</f>
        <v>1510.3831301889816</v>
      </c>
      <c r="E40" s="17">
        <f t="shared" si="1"/>
        <v>-26077.966044510173</v>
      </c>
      <c r="F40" s="30" t="str">
        <f t="shared" si="3"/>
        <v>Lifetime Savings</v>
      </c>
    </row>
    <row r="41" spans="1:7">
      <c r="A41" s="14">
        <v>25</v>
      </c>
      <c r="B41" s="15">
        <f t="shared" si="0"/>
        <v>-27618.733765400379</v>
      </c>
      <c r="C41" s="38">
        <f t="shared" si="2"/>
        <v>0.17692809744227478</v>
      </c>
      <c r="D41" s="16">
        <f>C41*E13</f>
        <v>1540.5907927927612</v>
      </c>
      <c r="E41" s="17">
        <f t="shared" si="1"/>
        <v>-27618.733765400379</v>
      </c>
      <c r="F41" s="30" t="str">
        <f t="shared" si="3"/>
        <v>Lifetime Savings</v>
      </c>
    </row>
    <row r="42" spans="1:7">
      <c r="A42" s="5"/>
      <c r="B42" s="5"/>
      <c r="D42" s="32" t="s">
        <v>13</v>
      </c>
      <c r="E42" s="31">
        <f>SUM(D17:D41)-F8</f>
        <v>27615.210432430817</v>
      </c>
      <c r="F42" s="19"/>
    </row>
    <row r="43" spans="1:7" ht="14.5">
      <c r="A43" s="10"/>
      <c r="B43" s="10"/>
      <c r="C43" s="10"/>
      <c r="D43" s="10"/>
      <c r="E43" s="10"/>
      <c r="F43" s="10"/>
      <c r="G43" s="2"/>
    </row>
    <row r="44" spans="1:7">
      <c r="A44" s="10"/>
      <c r="B44" s="10"/>
      <c r="C44" s="10"/>
      <c r="D44" s="10"/>
      <c r="E44" s="10"/>
      <c r="F44" s="10"/>
    </row>
  </sheetData>
  <mergeCells count="7">
    <mergeCell ref="C10:F10"/>
    <mergeCell ref="A3:C3"/>
    <mergeCell ref="E3:F3"/>
    <mergeCell ref="A4:B4"/>
    <mergeCell ref="A5:B5"/>
    <mergeCell ref="A6:B6"/>
    <mergeCell ref="A8:E8"/>
  </mergeCells>
  <conditionalFormatting sqref="E17:E41">
    <cfRule type="cellIs" dxfId="88" priority="6" operator="lessThan">
      <formula>0</formula>
    </cfRule>
    <cfRule type="cellIs" dxfId="87" priority="7" operator="greaterThan">
      <formula>0</formula>
    </cfRule>
  </conditionalFormatting>
  <conditionalFormatting sqref="B16:B41">
    <cfRule type="cellIs" dxfId="86" priority="4" operator="lessThan">
      <formula>0</formula>
    </cfRule>
    <cfRule type="cellIs" dxfId="85" priority="5" operator="greaterThan">
      <formula>0</formula>
    </cfRule>
  </conditionalFormatting>
  <conditionalFormatting sqref="F17:F41">
    <cfRule type="containsText" dxfId="84" priority="1" operator="containsText" text="Lifetime Savings">
      <formula>NOT(ISERROR(SEARCH("Lifetime Savings",F17)))</formula>
    </cfRule>
    <cfRule type="containsText" dxfId="83" priority="2" operator="containsText" text="Lifetime Savngs">
      <formula>NOT(ISERROR(SEARCH("Lifetime Savngs",F17)))</formula>
    </cfRule>
    <cfRule type="containsText" dxfId="82" priority="3" operator="containsText" text="Payback Period">
      <formula>NOT(ISERROR(SEARCH("Payback Period",F17)))</formula>
    </cfRule>
  </conditionalFormatting>
  <pageMargins left="0.7" right="0.7" top="1.8020833333333333" bottom="0.89583333333333337" header="0.3" footer="0.3"/>
  <pageSetup paperSize="9" orientation="portrait" verticalDpi="1200" r:id="rId1"/>
  <headerFooter>
    <oddHeader>&amp;C&amp;G</oddHeader>
    <oddFooter>&amp;C&amp;"-,Bold"&amp;K03+000Telephone: &amp;"-,Regular"0113 271 7588 
&amp;"-,Bold"Email:&amp;"-,Regular" info@wilsonpowersolutions.co.uk 
&amp;"-,Bold"Address:&amp;"-,Regular" Westland Works, Westland Square, Leeds, LS11 5SS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44"/>
  <sheetViews>
    <sheetView view="pageLayout" zoomScaleNormal="100" workbookViewId="0">
      <selection activeCell="E42" sqref="E42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4.81640625" style="4" bestFit="1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9" t="s">
        <v>17</v>
      </c>
      <c r="C1" s="10"/>
      <c r="D1" s="10"/>
      <c r="E1" s="10"/>
      <c r="F1" s="10"/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">
        <v>22</v>
      </c>
      <c r="B3" s="128"/>
      <c r="C3" s="128"/>
      <c r="D3" s="5"/>
      <c r="E3" s="36" t="s">
        <v>19</v>
      </c>
      <c r="F3" s="36"/>
      <c r="G3" s="3"/>
    </row>
    <row r="4" spans="1:7">
      <c r="A4" s="129" t="s">
        <v>0</v>
      </c>
      <c r="B4" s="129"/>
      <c r="C4" s="29">
        <v>11630</v>
      </c>
      <c r="D4" s="6"/>
      <c r="E4" s="8" t="s">
        <v>3</v>
      </c>
      <c r="F4" s="29">
        <v>16115</v>
      </c>
      <c r="G4" s="3"/>
    </row>
    <row r="5" spans="1:7" ht="14.25" customHeight="1">
      <c r="A5" s="129" t="s">
        <v>1</v>
      </c>
      <c r="B5" s="129"/>
      <c r="C5" s="7">
        <v>650</v>
      </c>
      <c r="D5" s="5"/>
      <c r="E5" s="8" t="s">
        <v>4</v>
      </c>
      <c r="F5" s="7">
        <v>425</v>
      </c>
      <c r="G5" s="3"/>
    </row>
    <row r="6" spans="1:7">
      <c r="A6" s="129" t="s">
        <v>2</v>
      </c>
      <c r="B6" s="129"/>
      <c r="C6" s="7">
        <v>8400</v>
      </c>
      <c r="D6" s="5"/>
      <c r="E6" s="8" t="s">
        <v>2</v>
      </c>
      <c r="F6" s="7">
        <v>6000</v>
      </c>
      <c r="G6" s="3"/>
    </row>
    <row r="7" spans="1:7" ht="7.5" customHeight="1">
      <c r="A7" s="37"/>
      <c r="B7" s="37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34">
        <f>F4-C4</f>
        <v>4485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1">
      <c r="A10" s="20" t="s">
        <v>5</v>
      </c>
      <c r="B10" s="20" t="s">
        <v>6</v>
      </c>
      <c r="C10" s="127" t="s">
        <v>8</v>
      </c>
      <c r="D10" s="127"/>
      <c r="E10" s="127"/>
      <c r="F10" s="127"/>
    </row>
    <row r="11" spans="1:7" ht="30" customHeight="1">
      <c r="A11" s="21"/>
      <c r="B11" s="22"/>
      <c r="C11" s="23" t="s">
        <v>23</v>
      </c>
      <c r="D11" s="23" t="s">
        <v>25</v>
      </c>
      <c r="E11" s="23" t="s">
        <v>26</v>
      </c>
      <c r="F11" s="23" t="s">
        <v>7</v>
      </c>
    </row>
    <row r="12" spans="1:7">
      <c r="A12" s="24"/>
      <c r="B12" s="14"/>
      <c r="C12" s="14"/>
      <c r="D12" s="25">
        <v>70</v>
      </c>
      <c r="E12" s="14"/>
      <c r="F12" s="14" t="s">
        <v>9</v>
      </c>
    </row>
    <row r="13" spans="1:7">
      <c r="A13" s="26">
        <f>C5-F5</f>
        <v>225</v>
      </c>
      <c r="B13" s="14">
        <f>C6-F6</f>
        <v>2400</v>
      </c>
      <c r="C13" s="16">
        <f>A13*24*365/1000</f>
        <v>1971</v>
      </c>
      <c r="D13" s="14">
        <f>(B13*24*365*((D12*D12)/10000/1000))</f>
        <v>10301.76</v>
      </c>
      <c r="E13" s="27">
        <f>D13+C13</f>
        <v>12272.76</v>
      </c>
      <c r="F13" s="28">
        <f>E13*0.000537</f>
        <v>6.5904721200000003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42">
      <c r="A15" s="13" t="s">
        <v>10</v>
      </c>
      <c r="B15" s="13" t="s">
        <v>27</v>
      </c>
      <c r="C15" s="13" t="s">
        <v>28</v>
      </c>
      <c r="D15" s="13" t="s">
        <v>29</v>
      </c>
      <c r="E15" s="13" t="s">
        <v>12</v>
      </c>
      <c r="F15" s="13" t="s">
        <v>11</v>
      </c>
    </row>
    <row r="16" spans="1:7">
      <c r="A16" s="14">
        <v>0</v>
      </c>
      <c r="B16" s="15">
        <f>F8</f>
        <v>4485</v>
      </c>
      <c r="C16" s="38"/>
      <c r="D16" s="14"/>
      <c r="E16" s="14"/>
      <c r="F16" s="14"/>
    </row>
    <row r="17" spans="1:6">
      <c r="A17" s="14">
        <v>1</v>
      </c>
      <c r="B17" s="15">
        <f>E17</f>
        <v>3134.8864000000003</v>
      </c>
      <c r="C17" s="39">
        <v>0.11</v>
      </c>
      <c r="D17" s="16">
        <f>C17*E13</f>
        <v>1350.0036</v>
      </c>
      <c r="E17" s="17">
        <f>B16-C17-D17</f>
        <v>3134.8864000000003</v>
      </c>
      <c r="F17" s="30" t="str">
        <f>IF(E17&gt;0,"Payback Period","Lifetime Savings")</f>
        <v>Payback Period</v>
      </c>
    </row>
    <row r="18" spans="1:6">
      <c r="A18" s="14">
        <v>2</v>
      </c>
      <c r="B18" s="15">
        <f t="shared" ref="B18:B41" si="0">E18</f>
        <v>1757.7705280000002</v>
      </c>
      <c r="C18" s="38">
        <f>C17+(C17*2%)</f>
        <v>0.11219999999999999</v>
      </c>
      <c r="D18" s="16">
        <f>C18*E13</f>
        <v>1377.0036720000001</v>
      </c>
      <c r="E18" s="17">
        <f t="shared" ref="E18:E41" si="1">B17-C18-D18</f>
        <v>1757.7705280000002</v>
      </c>
      <c r="F18" s="30" t="str">
        <f>IF(E18&gt;0,"Payback Period","Lifetime Savings")</f>
        <v>Payback Period</v>
      </c>
    </row>
    <row r="19" spans="1:6">
      <c r="A19" s="14">
        <v>3</v>
      </c>
      <c r="B19" s="15">
        <f t="shared" si="0"/>
        <v>353.11233856000035</v>
      </c>
      <c r="C19" s="38">
        <f t="shared" ref="C19:C41" si="2">C18+(C18*2%)</f>
        <v>0.11444399999999999</v>
      </c>
      <c r="D19" s="16">
        <f>C19*E13</f>
        <v>1404.5437454399998</v>
      </c>
      <c r="E19" s="17">
        <f t="shared" si="1"/>
        <v>353.11233856000035</v>
      </c>
      <c r="F19" s="30" t="str">
        <f t="shared" ref="F19:F41" si="3">IF(E19&gt;0,"Payback Period","Lifetime Savings")</f>
        <v>Payback Period</v>
      </c>
    </row>
    <row r="20" spans="1:6">
      <c r="A20" s="14">
        <v>4</v>
      </c>
      <c r="B20" s="15">
        <f t="shared" si="0"/>
        <v>-1079.6390146687995</v>
      </c>
      <c r="C20" s="38">
        <f t="shared" si="2"/>
        <v>0.11673287999999998</v>
      </c>
      <c r="D20" s="16">
        <f>C20*E13</f>
        <v>1432.6346203487999</v>
      </c>
      <c r="E20" s="17">
        <f t="shared" si="1"/>
        <v>-1079.6390146687995</v>
      </c>
      <c r="F20" s="30" t="str">
        <f t="shared" si="3"/>
        <v>Lifetime Savings</v>
      </c>
    </row>
    <row r="21" spans="1:6">
      <c r="A21" s="14">
        <v>5</v>
      </c>
      <c r="B21" s="15">
        <f t="shared" si="0"/>
        <v>-2541.0453949621751</v>
      </c>
      <c r="C21" s="38">
        <f t="shared" si="2"/>
        <v>0.11906753759999998</v>
      </c>
      <c r="D21" s="16">
        <f>C21*E13</f>
        <v>1461.2873127557757</v>
      </c>
      <c r="E21" s="17">
        <f t="shared" si="1"/>
        <v>-2541.0453949621751</v>
      </c>
      <c r="F21" s="30" t="str">
        <f t="shared" si="3"/>
        <v>Lifetime Savings</v>
      </c>
    </row>
    <row r="22" spans="1:6">
      <c r="A22" s="14">
        <v>6</v>
      </c>
      <c r="B22" s="15">
        <f t="shared" si="0"/>
        <v>-4031.6799028614187</v>
      </c>
      <c r="C22" s="38">
        <f t="shared" si="2"/>
        <v>0.12144888835199998</v>
      </c>
      <c r="D22" s="16">
        <f>C22*E13</f>
        <v>1490.5130590108913</v>
      </c>
      <c r="E22" s="17">
        <f t="shared" si="1"/>
        <v>-4031.6799028614187</v>
      </c>
      <c r="F22" s="30" t="str">
        <f t="shared" si="3"/>
        <v>Lifetime Savings</v>
      </c>
    </row>
    <row r="23" spans="1:6">
      <c r="A23" s="14">
        <v>7</v>
      </c>
      <c r="B23" s="15">
        <f t="shared" si="0"/>
        <v>-5552.1271009186466</v>
      </c>
      <c r="C23" s="38">
        <f t="shared" si="2"/>
        <v>0.12387786611903998</v>
      </c>
      <c r="D23" s="16">
        <f>C23*E13</f>
        <v>1520.3233201911091</v>
      </c>
      <c r="E23" s="17">
        <f t="shared" si="1"/>
        <v>-5552.1271009186466</v>
      </c>
      <c r="F23" s="30" t="str">
        <f t="shared" si="3"/>
        <v>Lifetime Savings</v>
      </c>
    </row>
    <row r="24" spans="1:6">
      <c r="A24" s="14">
        <v>8</v>
      </c>
      <c r="B24" s="15">
        <f t="shared" si="0"/>
        <v>-7102.983242937019</v>
      </c>
      <c r="C24" s="38">
        <f t="shared" si="2"/>
        <v>0.12635542344142078</v>
      </c>
      <c r="D24" s="16">
        <f>C24*E13</f>
        <v>1550.7297865949313</v>
      </c>
      <c r="E24" s="17">
        <f t="shared" si="1"/>
        <v>-7102.983242937019</v>
      </c>
      <c r="F24" s="30" t="str">
        <f t="shared" si="3"/>
        <v>Lifetime Savings</v>
      </c>
    </row>
    <row r="25" spans="1:6">
      <c r="A25" s="14">
        <v>9</v>
      </c>
      <c r="B25" s="15">
        <f t="shared" si="0"/>
        <v>-8684.8565077957592</v>
      </c>
      <c r="C25" s="38">
        <f t="shared" si="2"/>
        <v>0.1288825319102492</v>
      </c>
      <c r="D25" s="16">
        <f>C25*E13</f>
        <v>1581.74438232683</v>
      </c>
      <c r="E25" s="17">
        <f t="shared" si="1"/>
        <v>-8684.8565077957592</v>
      </c>
      <c r="F25" s="30" t="str">
        <f t="shared" si="3"/>
        <v>Lifetime Savings</v>
      </c>
    </row>
    <row r="26" spans="1:6">
      <c r="A26" s="14">
        <v>10</v>
      </c>
      <c r="B26" s="15">
        <f t="shared" si="0"/>
        <v>-10298.367237951674</v>
      </c>
      <c r="C26" s="38">
        <f t="shared" si="2"/>
        <v>0.13146018254845418</v>
      </c>
      <c r="D26" s="16">
        <f>C26*E13</f>
        <v>1613.3792699733665</v>
      </c>
      <c r="E26" s="17">
        <f t="shared" si="1"/>
        <v>-10298.367237951674</v>
      </c>
      <c r="F26" s="30" t="str">
        <f t="shared" si="3"/>
        <v>Lifetime Savings</v>
      </c>
    </row>
    <row r="27" spans="1:6">
      <c r="A27" s="14">
        <v>11</v>
      </c>
      <c r="B27" s="15">
        <f t="shared" si="0"/>
        <v>-11944.148182710707</v>
      </c>
      <c r="C27" s="38">
        <f t="shared" si="2"/>
        <v>0.13408938619942326</v>
      </c>
      <c r="D27" s="16">
        <f>C27*E13</f>
        <v>1645.6468553728339</v>
      </c>
      <c r="E27" s="17">
        <f t="shared" si="1"/>
        <v>-11944.148182710707</v>
      </c>
      <c r="F27" s="30" t="str">
        <f t="shared" si="3"/>
        <v>Lifetime Savings</v>
      </c>
    </row>
    <row r="28" spans="1:6">
      <c r="A28" s="14">
        <v>12</v>
      </c>
      <c r="B28" s="15">
        <f t="shared" si="0"/>
        <v>-13622.844746364921</v>
      </c>
      <c r="C28" s="38">
        <f t="shared" si="2"/>
        <v>0.13677117392341173</v>
      </c>
      <c r="D28" s="16">
        <f>C28*E13</f>
        <v>1678.5597924802905</v>
      </c>
      <c r="E28" s="17">
        <f t="shared" si="1"/>
        <v>-13622.844746364921</v>
      </c>
      <c r="F28" s="30" t="str">
        <f t="shared" si="3"/>
        <v>Lifetime Savings</v>
      </c>
    </row>
    <row r="29" spans="1:6">
      <c r="A29" s="14">
        <v>13</v>
      </c>
      <c r="B29" s="15">
        <f t="shared" si="0"/>
        <v>-15335.115241292218</v>
      </c>
      <c r="C29" s="38">
        <f t="shared" si="2"/>
        <v>0.13950659740187996</v>
      </c>
      <c r="D29" s="16">
        <f>C29*E13</f>
        <v>1712.1309883298964</v>
      </c>
      <c r="E29" s="17">
        <f t="shared" si="1"/>
        <v>-15335.115241292218</v>
      </c>
      <c r="F29" s="30" t="str">
        <f t="shared" si="3"/>
        <v>Lifetime Savings</v>
      </c>
    </row>
    <row r="30" spans="1:6">
      <c r="A30" s="14">
        <v>14</v>
      </c>
      <c r="B30" s="15">
        <f t="shared" si="0"/>
        <v>-17081.631146118063</v>
      </c>
      <c r="C30" s="38">
        <f t="shared" si="2"/>
        <v>0.14229672934991755</v>
      </c>
      <c r="D30" s="16">
        <f>C30*E13</f>
        <v>1746.3736080964941</v>
      </c>
      <c r="E30" s="17">
        <f t="shared" si="1"/>
        <v>-17081.631146118063</v>
      </c>
      <c r="F30" s="30" t="str">
        <f t="shared" si="3"/>
        <v>Lifetime Savings</v>
      </c>
    </row>
    <row r="31" spans="1:6">
      <c r="A31" s="14">
        <v>15</v>
      </c>
      <c r="B31" s="15">
        <f t="shared" si="0"/>
        <v>-18863.077369040424</v>
      </c>
      <c r="C31" s="38">
        <f t="shared" si="2"/>
        <v>0.14514266393691591</v>
      </c>
      <c r="D31" s="16">
        <f>C31*E13</f>
        <v>1781.3010802584242</v>
      </c>
      <c r="E31" s="17">
        <f t="shared" si="1"/>
        <v>-18863.077369040424</v>
      </c>
      <c r="F31" s="30" t="str">
        <f t="shared" si="3"/>
        <v>Lifetime Savings</v>
      </c>
    </row>
    <row r="32" spans="1:6">
      <c r="A32" s="14">
        <v>16</v>
      </c>
      <c r="B32" s="15">
        <f t="shared" si="0"/>
        <v>-20680.152516421233</v>
      </c>
      <c r="C32" s="38">
        <f t="shared" si="2"/>
        <v>0.14804551721565423</v>
      </c>
      <c r="D32" s="16">
        <f>C32*E13</f>
        <v>1816.9271018635927</v>
      </c>
      <c r="E32" s="17">
        <f t="shared" si="1"/>
        <v>-20680.152516421233</v>
      </c>
      <c r="F32" s="30" t="str">
        <f t="shared" si="3"/>
        <v>Lifetime Savings</v>
      </c>
    </row>
    <row r="33" spans="1:7">
      <c r="A33" s="14">
        <v>17</v>
      </c>
      <c r="B33" s="15">
        <f t="shared" si="0"/>
        <v>-22533.569166749658</v>
      </c>
      <c r="C33" s="38">
        <f t="shared" si="2"/>
        <v>0.15100642755996732</v>
      </c>
      <c r="D33" s="16">
        <f>C33*E13</f>
        <v>1853.2656439008645</v>
      </c>
      <c r="E33" s="17">
        <f t="shared" si="1"/>
        <v>-22533.569166749658</v>
      </c>
      <c r="F33" s="30" t="str">
        <f t="shared" si="3"/>
        <v>Lifetime Savings</v>
      </c>
    </row>
    <row r="34" spans="1:7">
      <c r="A34" s="14">
        <v>18</v>
      </c>
      <c r="B34" s="15">
        <f t="shared" si="0"/>
        <v>-24424.054150084652</v>
      </c>
      <c r="C34" s="38">
        <f t="shared" si="2"/>
        <v>0.15402655611116667</v>
      </c>
      <c r="D34" s="16">
        <f>C34*E13</f>
        <v>1890.330956778882</v>
      </c>
      <c r="E34" s="17">
        <f t="shared" si="1"/>
        <v>-24424.054150084652</v>
      </c>
      <c r="F34" s="30" t="str">
        <f t="shared" si="3"/>
        <v>Lifetime Savings</v>
      </c>
    </row>
    <row r="35" spans="1:7">
      <c r="A35" s="14">
        <v>19</v>
      </c>
      <c r="B35" s="15">
        <f t="shared" si="0"/>
        <v>-26352.348833086347</v>
      </c>
      <c r="C35" s="38">
        <f t="shared" si="2"/>
        <v>0.15710708723339001</v>
      </c>
      <c r="D35" s="16">
        <f>C35*E13</f>
        <v>1928.1375759144596</v>
      </c>
      <c r="E35" s="17">
        <f t="shared" si="1"/>
        <v>-26352.348833086347</v>
      </c>
      <c r="F35" s="30" t="str">
        <f t="shared" si="3"/>
        <v>Lifetime Savings</v>
      </c>
    </row>
    <row r="36" spans="1:7">
      <c r="A36" s="14">
        <v>20</v>
      </c>
      <c r="B36" s="15">
        <f t="shared" si="0"/>
        <v>-28319.209409748073</v>
      </c>
      <c r="C36" s="38">
        <f t="shared" si="2"/>
        <v>0.16024922897805779</v>
      </c>
      <c r="D36" s="16">
        <f>C36*E13</f>
        <v>1966.7003274327485</v>
      </c>
      <c r="E36" s="17">
        <f t="shared" si="1"/>
        <v>-28319.209409748073</v>
      </c>
      <c r="F36" s="30" t="str">
        <f t="shared" si="3"/>
        <v>Lifetime Savings</v>
      </c>
    </row>
    <row r="37" spans="1:7">
      <c r="A37" s="14">
        <v>21</v>
      </c>
      <c r="B37" s="15">
        <f t="shared" si="0"/>
        <v>-30325.407197943034</v>
      </c>
      <c r="C37" s="38">
        <f t="shared" si="2"/>
        <v>0.16345421355761894</v>
      </c>
      <c r="D37" s="16">
        <f>C37*E13</f>
        <v>2006.0343339814035</v>
      </c>
      <c r="E37" s="17">
        <f t="shared" si="1"/>
        <v>-30325.407197943034</v>
      </c>
      <c r="F37" s="30" t="str">
        <f t="shared" si="3"/>
        <v>Lifetime Savings</v>
      </c>
    </row>
    <row r="38" spans="1:7">
      <c r="A38" s="14">
        <v>22</v>
      </c>
      <c r="B38" s="15">
        <f t="shared" si="0"/>
        <v>-32371.728941901893</v>
      </c>
      <c r="C38" s="38">
        <f t="shared" si="2"/>
        <v>0.16672329782877132</v>
      </c>
      <c r="D38" s="16">
        <f>C38*E13</f>
        <v>2046.1550206610316</v>
      </c>
      <c r="E38" s="17">
        <f t="shared" si="1"/>
        <v>-32371.728941901893</v>
      </c>
      <c r="F38" s="30" t="str">
        <f t="shared" si="3"/>
        <v>Lifetime Savings</v>
      </c>
    </row>
    <row r="39" spans="1:7">
      <c r="A39" s="14">
        <v>23</v>
      </c>
      <c r="B39" s="15">
        <f t="shared" si="0"/>
        <v>-34458.977120739932</v>
      </c>
      <c r="C39" s="38">
        <f t="shared" si="2"/>
        <v>0.17005776378534676</v>
      </c>
      <c r="D39" s="16">
        <f>C39*E13</f>
        <v>2087.0781210742525</v>
      </c>
      <c r="E39" s="17">
        <f t="shared" si="1"/>
        <v>-34458.977120739932</v>
      </c>
      <c r="F39" s="30" t="str">
        <f t="shared" si="3"/>
        <v>Lifetime Savings</v>
      </c>
    </row>
    <row r="40" spans="1:7">
      <c r="A40" s="14">
        <v>24</v>
      </c>
      <c r="B40" s="15">
        <f t="shared" si="0"/>
        <v>-36587.970263154726</v>
      </c>
      <c r="C40" s="38">
        <f t="shared" si="2"/>
        <v>0.17345891906105371</v>
      </c>
      <c r="D40" s="16">
        <f>C40*E13</f>
        <v>2128.8196834957375</v>
      </c>
      <c r="E40" s="17">
        <f t="shared" si="1"/>
        <v>-36587.970263154726</v>
      </c>
      <c r="F40" s="30" t="str">
        <f t="shared" si="3"/>
        <v>Lifetime Savings</v>
      </c>
    </row>
    <row r="41" spans="1:7">
      <c r="A41" s="14">
        <v>25</v>
      </c>
      <c r="B41" s="15">
        <f t="shared" si="0"/>
        <v>-38759.543268417816</v>
      </c>
      <c r="C41" s="38">
        <f t="shared" si="2"/>
        <v>0.17692809744227478</v>
      </c>
      <c r="D41" s="16">
        <f>C41*E13</f>
        <v>2171.3960771656521</v>
      </c>
      <c r="E41" s="17">
        <f t="shared" si="1"/>
        <v>-38759.543268417816</v>
      </c>
      <c r="F41" s="30" t="str">
        <f t="shared" si="3"/>
        <v>Lifetime Savings</v>
      </c>
    </row>
    <row r="42" spans="1:7">
      <c r="A42" s="5"/>
      <c r="B42" s="5"/>
      <c r="D42" s="32" t="s">
        <v>13</v>
      </c>
      <c r="E42" s="31">
        <f>SUM(D17:D41)-F8</f>
        <v>38756.019935448268</v>
      </c>
      <c r="F42" s="19"/>
    </row>
    <row r="43" spans="1:7" ht="15" customHeight="1">
      <c r="A43" s="18"/>
      <c r="B43" s="18"/>
      <c r="C43" s="18"/>
      <c r="D43" s="18"/>
      <c r="E43" s="18"/>
      <c r="F43" s="18"/>
    </row>
    <row r="44" spans="1:7" ht="14.5">
      <c r="A44" s="10"/>
      <c r="B44" s="10"/>
      <c r="C44" s="10"/>
      <c r="D44" s="10"/>
      <c r="E44" s="10"/>
      <c r="F44" s="10"/>
      <c r="G44" s="2"/>
    </row>
  </sheetData>
  <mergeCells count="6">
    <mergeCell ref="A3:C3"/>
    <mergeCell ref="C10:F10"/>
    <mergeCell ref="A4:B4"/>
    <mergeCell ref="A5:B5"/>
    <mergeCell ref="A6:B6"/>
    <mergeCell ref="A8:E8"/>
  </mergeCells>
  <conditionalFormatting sqref="E17:E41">
    <cfRule type="cellIs" dxfId="81" priority="6" operator="lessThan">
      <formula>0</formula>
    </cfRule>
    <cfRule type="cellIs" dxfId="80" priority="7" operator="greaterThan">
      <formula>0</formula>
    </cfRule>
  </conditionalFormatting>
  <conditionalFormatting sqref="B16:B41">
    <cfRule type="cellIs" dxfId="79" priority="4" operator="lessThan">
      <formula>0</formula>
    </cfRule>
    <cfRule type="cellIs" dxfId="78" priority="5" operator="greaterThan">
      <formula>0</formula>
    </cfRule>
  </conditionalFormatting>
  <conditionalFormatting sqref="F17:F41">
    <cfRule type="containsText" dxfId="77" priority="1" operator="containsText" text="Lifetime Savings">
      <formula>NOT(ISERROR(SEARCH("Lifetime Savings",F17)))</formula>
    </cfRule>
    <cfRule type="containsText" dxfId="76" priority="2" operator="containsText" text="Lifetime Savngs">
      <formula>NOT(ISERROR(SEARCH("Lifetime Savngs",F17)))</formula>
    </cfRule>
    <cfRule type="containsText" dxfId="75" priority="3" operator="containsText" text="Payback Period">
      <formula>NOT(ISERROR(SEARCH("Payback Period",F17)))</formula>
    </cfRule>
  </conditionalFormatting>
  <pageMargins left="0.7" right="0.7" top="1.8020833333333333" bottom="0.88541666666666663" header="0.3" footer="0.3"/>
  <pageSetup paperSize="9" orientation="portrait" verticalDpi="1200" r:id="rId1"/>
  <headerFooter>
    <oddHeader>&amp;C&amp;G</oddHeader>
    <oddFooter>&amp;C&amp;"-,Bold"&amp;K03+000Telephone:&amp;"-,Regular" 0113 271 7588 
&amp;"-,Bold"Email:&amp;"-,Regular" info@wilsonpowersolutions.co.uk 
&amp;"-,Bold"Address:&amp;"-,Regular" Westland Works, Westland Square, Leeds, LS11 5SS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44"/>
  <sheetViews>
    <sheetView view="pageLayout" zoomScaleNormal="115" workbookViewId="0">
      <selection activeCell="E42" sqref="E42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4.81640625" style="4" bestFit="1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16384" width="9.1796875" style="1"/>
  </cols>
  <sheetData>
    <row r="1" spans="1:6" ht="15.5">
      <c r="A1" s="9" t="s">
        <v>14</v>
      </c>
      <c r="B1" s="9" t="s">
        <v>15</v>
      </c>
      <c r="C1" s="10"/>
      <c r="D1" s="10"/>
      <c r="E1" s="10"/>
      <c r="F1" s="10"/>
    </row>
    <row r="2" spans="1:6" ht="7.5" customHeight="1">
      <c r="A2" s="9"/>
      <c r="B2" s="9"/>
      <c r="C2" s="10"/>
      <c r="D2" s="10"/>
      <c r="E2" s="10"/>
      <c r="F2" s="10"/>
    </row>
    <row r="3" spans="1:6">
      <c r="A3" s="128" t="s">
        <v>22</v>
      </c>
      <c r="B3" s="128"/>
      <c r="C3" s="128"/>
      <c r="D3" s="5"/>
      <c r="E3" s="128" t="s">
        <v>19</v>
      </c>
      <c r="F3" s="128"/>
    </row>
    <row r="4" spans="1:6">
      <c r="A4" s="129" t="s">
        <v>0</v>
      </c>
      <c r="B4" s="129"/>
      <c r="C4" s="29">
        <v>12545</v>
      </c>
      <c r="D4" s="6"/>
      <c r="E4" s="8" t="s">
        <v>3</v>
      </c>
      <c r="F4" s="29">
        <v>18260</v>
      </c>
    </row>
    <row r="5" spans="1:6" ht="14.25" customHeight="1">
      <c r="A5" s="129" t="s">
        <v>1</v>
      </c>
      <c r="B5" s="129"/>
      <c r="C5" s="7">
        <v>770</v>
      </c>
      <c r="D5" s="5"/>
      <c r="E5" s="8" t="s">
        <v>4</v>
      </c>
      <c r="F5" s="7">
        <v>500</v>
      </c>
    </row>
    <row r="6" spans="1:6">
      <c r="A6" s="129" t="s">
        <v>2</v>
      </c>
      <c r="B6" s="129"/>
      <c r="C6" s="7">
        <v>10500</v>
      </c>
      <c r="D6" s="5"/>
      <c r="E6" s="8" t="s">
        <v>2</v>
      </c>
      <c r="F6" s="7">
        <v>7600</v>
      </c>
    </row>
    <row r="7" spans="1:6" ht="7.5" customHeight="1">
      <c r="A7" s="33"/>
      <c r="B7" s="33"/>
      <c r="C7" s="7"/>
      <c r="D7" s="5"/>
      <c r="E7" s="8"/>
      <c r="F7" s="7"/>
    </row>
    <row r="8" spans="1:6">
      <c r="A8" s="130" t="s">
        <v>30</v>
      </c>
      <c r="B8" s="130"/>
      <c r="C8" s="130"/>
      <c r="D8" s="130"/>
      <c r="E8" s="130"/>
      <c r="F8" s="34">
        <f>F4-C4</f>
        <v>5715</v>
      </c>
    </row>
    <row r="9" spans="1:6" ht="7.5" customHeight="1">
      <c r="A9" s="11"/>
      <c r="B9" s="11"/>
      <c r="C9" s="11"/>
      <c r="D9" s="11"/>
      <c r="E9" s="12"/>
      <c r="F9" s="5"/>
    </row>
    <row r="10" spans="1:6" ht="21">
      <c r="A10" s="20" t="s">
        <v>5</v>
      </c>
      <c r="B10" s="20" t="s">
        <v>6</v>
      </c>
      <c r="C10" s="127" t="s">
        <v>8</v>
      </c>
      <c r="D10" s="127"/>
      <c r="E10" s="127"/>
      <c r="F10" s="127"/>
    </row>
    <row r="11" spans="1:6" ht="30" customHeight="1">
      <c r="A11" s="21"/>
      <c r="B11" s="22"/>
      <c r="C11" s="23" t="s">
        <v>23</v>
      </c>
      <c r="D11" s="23" t="s">
        <v>25</v>
      </c>
      <c r="E11" s="23" t="s">
        <v>26</v>
      </c>
      <c r="F11" s="23" t="s">
        <v>7</v>
      </c>
    </row>
    <row r="12" spans="1:6">
      <c r="A12" s="24"/>
      <c r="B12" s="14"/>
      <c r="C12" s="14"/>
      <c r="D12" s="25">
        <v>70</v>
      </c>
      <c r="E12" s="14"/>
      <c r="F12" s="14" t="s">
        <v>9</v>
      </c>
    </row>
    <row r="13" spans="1:6">
      <c r="A13" s="26">
        <f>C5-F5</f>
        <v>270</v>
      </c>
      <c r="B13" s="14">
        <f>C6-F6</f>
        <v>2900</v>
      </c>
      <c r="C13" s="16">
        <f>A13*24*365/1000</f>
        <v>2365.1999999999998</v>
      </c>
      <c r="D13" s="14">
        <f>(B13*24*365*((D12*D12)/10000/1000))</f>
        <v>12447.96</v>
      </c>
      <c r="E13" s="27">
        <f>D13+C13</f>
        <v>14813.16</v>
      </c>
      <c r="F13" s="28">
        <f>E13*0.000537</f>
        <v>7.9546669200000002</v>
      </c>
    </row>
    <row r="14" spans="1:6" ht="7.5" customHeight="1">
      <c r="A14" s="10"/>
      <c r="B14" s="10"/>
      <c r="C14" s="10"/>
      <c r="D14" s="10"/>
      <c r="E14" s="10"/>
      <c r="F14" s="10"/>
    </row>
    <row r="15" spans="1:6" ht="42">
      <c r="A15" s="13" t="s">
        <v>10</v>
      </c>
      <c r="B15" s="13" t="s">
        <v>27</v>
      </c>
      <c r="C15" s="13" t="s">
        <v>28</v>
      </c>
      <c r="D15" s="13" t="s">
        <v>29</v>
      </c>
      <c r="E15" s="13" t="s">
        <v>12</v>
      </c>
      <c r="F15" s="13" t="s">
        <v>11</v>
      </c>
    </row>
    <row r="16" spans="1:6">
      <c r="A16" s="14">
        <v>0</v>
      </c>
      <c r="B16" s="15">
        <f>F8</f>
        <v>5715</v>
      </c>
      <c r="C16" s="38"/>
      <c r="D16" s="14"/>
      <c r="E16" s="14"/>
      <c r="F16" s="14"/>
    </row>
    <row r="17" spans="1:6">
      <c r="A17" s="14">
        <v>1</v>
      </c>
      <c r="B17" s="15">
        <f>E17</f>
        <v>4085.4424000000004</v>
      </c>
      <c r="C17" s="39">
        <v>0.11</v>
      </c>
      <c r="D17" s="16">
        <f>C17*E13</f>
        <v>1629.4476</v>
      </c>
      <c r="E17" s="17">
        <f>B16-C17-D17</f>
        <v>4085.4424000000004</v>
      </c>
      <c r="F17" s="30" t="str">
        <f>IF(E17&gt;0,"Payback Period","Lifetime Savings")</f>
        <v>Payback Period</v>
      </c>
    </row>
    <row r="18" spans="1:6">
      <c r="A18" s="14">
        <v>2</v>
      </c>
      <c r="B18" s="15">
        <f t="shared" ref="B18:B41" si="0">E18</f>
        <v>2423.2936480000008</v>
      </c>
      <c r="C18" s="38">
        <f>C17+(C17*2%)</f>
        <v>0.11219999999999999</v>
      </c>
      <c r="D18" s="16">
        <f>C18*E13</f>
        <v>1662.0365519999998</v>
      </c>
      <c r="E18" s="17">
        <f t="shared" ref="E18:E41" si="1">B17-C18-D18</f>
        <v>2423.2936480000008</v>
      </c>
      <c r="F18" s="30" t="str">
        <f>IF(E18&gt;0,"Payback Period","Lifetime Savings")</f>
        <v>Payback Period</v>
      </c>
    </row>
    <row r="19" spans="1:6">
      <c r="A19" s="14">
        <v>3</v>
      </c>
      <c r="B19" s="15">
        <f t="shared" si="0"/>
        <v>727.90192096000101</v>
      </c>
      <c r="C19" s="38">
        <f t="shared" ref="C19:C41" si="2">C18+(C18*2%)</f>
        <v>0.11444399999999999</v>
      </c>
      <c r="D19" s="16">
        <f>C19*E13</f>
        <v>1695.2772830399999</v>
      </c>
      <c r="E19" s="17">
        <f t="shared" si="1"/>
        <v>727.90192096000101</v>
      </c>
      <c r="F19" s="30" t="str">
        <f t="shared" ref="F19:F41" si="3">IF(E19&gt;0,"Payback Period","Lifetime Savings")</f>
        <v>Payback Period</v>
      </c>
    </row>
    <row r="20" spans="1:6">
      <c r="A20" s="14">
        <v>4</v>
      </c>
      <c r="B20" s="15">
        <f t="shared" si="0"/>
        <v>-1001.3976406207987</v>
      </c>
      <c r="C20" s="38">
        <f t="shared" si="2"/>
        <v>0.11673287999999998</v>
      </c>
      <c r="D20" s="16">
        <f>C20*E13</f>
        <v>1729.1828287007997</v>
      </c>
      <c r="E20" s="17">
        <f t="shared" si="1"/>
        <v>-1001.3976406207987</v>
      </c>
      <c r="F20" s="30" t="str">
        <f t="shared" si="3"/>
        <v>Lifetime Savings</v>
      </c>
    </row>
    <row r="21" spans="1:6">
      <c r="A21" s="14">
        <v>5</v>
      </c>
      <c r="B21" s="15">
        <f t="shared" si="0"/>
        <v>-2765.2831934332144</v>
      </c>
      <c r="C21" s="38">
        <f t="shared" si="2"/>
        <v>0.11906753759999998</v>
      </c>
      <c r="D21" s="16">
        <f>C21*E13</f>
        <v>1763.7664852748158</v>
      </c>
      <c r="E21" s="17">
        <f t="shared" si="1"/>
        <v>-2765.2831934332144</v>
      </c>
      <c r="F21" s="30" t="str">
        <f t="shared" si="3"/>
        <v>Lifetime Savings</v>
      </c>
    </row>
    <row r="22" spans="1:6">
      <c r="A22" s="14">
        <v>6</v>
      </c>
      <c r="B22" s="15">
        <f t="shared" si="0"/>
        <v>-4564.4464573018786</v>
      </c>
      <c r="C22" s="38">
        <f t="shared" si="2"/>
        <v>0.12144888835199998</v>
      </c>
      <c r="D22" s="16">
        <f>C22*E13</f>
        <v>1799.041814980312</v>
      </c>
      <c r="E22" s="17">
        <f t="shared" si="1"/>
        <v>-4564.4464573018786</v>
      </c>
      <c r="F22" s="30" t="str">
        <f t="shared" si="3"/>
        <v>Lifetime Savings</v>
      </c>
    </row>
    <row r="23" spans="1:6">
      <c r="A23" s="14">
        <v>7</v>
      </c>
      <c r="B23" s="15">
        <f t="shared" si="0"/>
        <v>-6399.5929864479158</v>
      </c>
      <c r="C23" s="38">
        <f t="shared" si="2"/>
        <v>0.12387786611903998</v>
      </c>
      <c r="D23" s="16">
        <f>C23*E13</f>
        <v>1835.0226512799181</v>
      </c>
      <c r="E23" s="17">
        <f t="shared" si="1"/>
        <v>-6399.5929864479158</v>
      </c>
      <c r="F23" s="30" t="str">
        <f t="shared" si="3"/>
        <v>Lifetime Savings</v>
      </c>
    </row>
    <row r="24" spans="1:6">
      <c r="A24" s="14">
        <v>8</v>
      </c>
      <c r="B24" s="15">
        <f t="shared" si="0"/>
        <v>-8271.442446176874</v>
      </c>
      <c r="C24" s="38">
        <f t="shared" si="2"/>
        <v>0.12635542344142078</v>
      </c>
      <c r="D24" s="16">
        <f>C24*E13</f>
        <v>1871.7231043055167</v>
      </c>
      <c r="E24" s="17">
        <f t="shared" si="1"/>
        <v>-8271.442446176874</v>
      </c>
      <c r="F24" s="30" t="str">
        <f t="shared" si="3"/>
        <v>Lifetime Savings</v>
      </c>
    </row>
    <row r="25" spans="1:6">
      <c r="A25" s="14">
        <v>9</v>
      </c>
      <c r="B25" s="15">
        <f t="shared" si="0"/>
        <v>-10180.72889510041</v>
      </c>
      <c r="C25" s="38">
        <f t="shared" si="2"/>
        <v>0.1288825319102492</v>
      </c>
      <c r="D25" s="16">
        <f>C25*E13</f>
        <v>1909.1575663916271</v>
      </c>
      <c r="E25" s="17">
        <f t="shared" si="1"/>
        <v>-10180.72889510041</v>
      </c>
      <c r="F25" s="30" t="str">
        <f t="shared" si="3"/>
        <v>Lifetime Savings</v>
      </c>
    </row>
    <row r="26" spans="1:6">
      <c r="A26" s="14">
        <v>10</v>
      </c>
      <c r="B26" s="15">
        <f t="shared" si="0"/>
        <v>-12128.201073002419</v>
      </c>
      <c r="C26" s="38">
        <f t="shared" si="2"/>
        <v>0.13146018254845418</v>
      </c>
      <c r="D26" s="16">
        <f>C26*E13</f>
        <v>1947.3407177194595</v>
      </c>
      <c r="E26" s="17">
        <f t="shared" si="1"/>
        <v>-12128.201073002419</v>
      </c>
      <c r="F26" s="30" t="str">
        <f t="shared" si="3"/>
        <v>Lifetime Savings</v>
      </c>
    </row>
    <row r="27" spans="1:6">
      <c r="A27" s="14">
        <v>11</v>
      </c>
      <c r="B27" s="15">
        <f t="shared" si="0"/>
        <v>-14114.622694462469</v>
      </c>
      <c r="C27" s="38">
        <f t="shared" si="2"/>
        <v>0.13408938619942326</v>
      </c>
      <c r="D27" s="16">
        <f>C27*E13</f>
        <v>1986.2875320738488</v>
      </c>
      <c r="E27" s="17">
        <f t="shared" si="1"/>
        <v>-14114.622694462469</v>
      </c>
      <c r="F27" s="30" t="str">
        <f t="shared" si="3"/>
        <v>Lifetime Savings</v>
      </c>
    </row>
    <row r="28" spans="1:6">
      <c r="A28" s="14">
        <v>12</v>
      </c>
      <c r="B28" s="15">
        <f t="shared" si="0"/>
        <v>-16140.772748351719</v>
      </c>
      <c r="C28" s="38">
        <f t="shared" si="2"/>
        <v>0.13677117392341173</v>
      </c>
      <c r="D28" s="16">
        <f>C28*E13</f>
        <v>2026.0132827153257</v>
      </c>
      <c r="E28" s="17">
        <f t="shared" si="1"/>
        <v>-16140.772748351719</v>
      </c>
      <c r="F28" s="30" t="str">
        <f t="shared" si="3"/>
        <v>Lifetime Savings</v>
      </c>
    </row>
    <row r="29" spans="1:6">
      <c r="A29" s="14">
        <v>13</v>
      </c>
      <c r="B29" s="15">
        <f t="shared" si="0"/>
        <v>-18207.445803318751</v>
      </c>
      <c r="C29" s="38">
        <f t="shared" si="2"/>
        <v>0.13950659740187996</v>
      </c>
      <c r="D29" s="16">
        <f>C29*E13</f>
        <v>2066.5335483696322</v>
      </c>
      <c r="E29" s="17">
        <f t="shared" si="1"/>
        <v>-18207.445803318751</v>
      </c>
      <c r="F29" s="30" t="str">
        <f t="shared" si="3"/>
        <v>Lifetime Savings</v>
      </c>
    </row>
    <row r="30" spans="1:6">
      <c r="A30" s="14">
        <v>14</v>
      </c>
      <c r="B30" s="15">
        <f t="shared" si="0"/>
        <v>-20315.452319385127</v>
      </c>
      <c r="C30" s="38">
        <f t="shared" si="2"/>
        <v>0.14229672934991755</v>
      </c>
      <c r="D30" s="16">
        <f>C30*E13</f>
        <v>2107.8642193370247</v>
      </c>
      <c r="E30" s="17">
        <f t="shared" si="1"/>
        <v>-20315.452319385127</v>
      </c>
      <c r="F30" s="30" t="str">
        <f t="shared" si="3"/>
        <v>Lifetime Savings</v>
      </c>
    </row>
    <row r="31" spans="1:6">
      <c r="A31" s="14">
        <v>15</v>
      </c>
      <c r="B31" s="15">
        <f t="shared" si="0"/>
        <v>-22465.618965772828</v>
      </c>
      <c r="C31" s="38">
        <f t="shared" si="2"/>
        <v>0.14514266393691591</v>
      </c>
      <c r="D31" s="16">
        <f>C31*E13</f>
        <v>2150.0215037237654</v>
      </c>
      <c r="E31" s="17">
        <f t="shared" si="1"/>
        <v>-22465.618965772828</v>
      </c>
      <c r="F31" s="30" t="str">
        <f t="shared" si="3"/>
        <v>Lifetime Savings</v>
      </c>
    </row>
    <row r="32" spans="1:6">
      <c r="A32" s="14">
        <v>16</v>
      </c>
      <c r="B32" s="15">
        <f t="shared" si="0"/>
        <v>-24658.788945088287</v>
      </c>
      <c r="C32" s="38">
        <f t="shared" si="2"/>
        <v>0.14804551721565423</v>
      </c>
      <c r="D32" s="16">
        <f>C32*E13</f>
        <v>2193.0219337982408</v>
      </c>
      <c r="E32" s="17">
        <f t="shared" si="1"/>
        <v>-24658.788945088287</v>
      </c>
      <c r="F32" s="30" t="str">
        <f t="shared" si="3"/>
        <v>Lifetime Savings</v>
      </c>
    </row>
    <row r="33" spans="1:6">
      <c r="A33" s="14">
        <v>17</v>
      </c>
      <c r="B33" s="15">
        <f t="shared" si="0"/>
        <v>-26895.822323990054</v>
      </c>
      <c r="C33" s="38">
        <f t="shared" si="2"/>
        <v>0.15100642755996732</v>
      </c>
      <c r="D33" s="16">
        <f>C33*E13</f>
        <v>2236.8823724742056</v>
      </c>
      <c r="E33" s="17">
        <f t="shared" si="1"/>
        <v>-26895.822323990054</v>
      </c>
      <c r="F33" s="30" t="str">
        <f t="shared" si="3"/>
        <v>Lifetime Savings</v>
      </c>
    </row>
    <row r="34" spans="1:6">
      <c r="A34" s="14">
        <v>18</v>
      </c>
      <c r="B34" s="15">
        <f t="shared" si="0"/>
        <v>-29177.596370469855</v>
      </c>
      <c r="C34" s="38">
        <f t="shared" si="2"/>
        <v>0.15402655611116667</v>
      </c>
      <c r="D34" s="16">
        <f>C34*E13</f>
        <v>2281.6200199236896</v>
      </c>
      <c r="E34" s="17">
        <f t="shared" si="1"/>
        <v>-29177.596370469855</v>
      </c>
      <c r="F34" s="30" t="str">
        <f t="shared" si="3"/>
        <v>Lifetime Savings</v>
      </c>
    </row>
    <row r="35" spans="1:6">
      <c r="A35" s="14">
        <v>19</v>
      </c>
      <c r="B35" s="15">
        <f t="shared" si="0"/>
        <v>-31505.005897879251</v>
      </c>
      <c r="C35" s="38">
        <f t="shared" si="2"/>
        <v>0.15710708723339001</v>
      </c>
      <c r="D35" s="16">
        <f>C35*E13</f>
        <v>2327.2524203221633</v>
      </c>
      <c r="E35" s="17">
        <f t="shared" si="1"/>
        <v>-31505.005897879251</v>
      </c>
      <c r="F35" s="30" t="str">
        <f t="shared" si="3"/>
        <v>Lifetime Savings</v>
      </c>
    </row>
    <row r="36" spans="1:6">
      <c r="A36" s="14">
        <v>20</v>
      </c>
      <c r="B36" s="15">
        <f t="shared" si="0"/>
        <v>-33878.963615836838</v>
      </c>
      <c r="C36" s="38">
        <f t="shared" si="2"/>
        <v>0.16024922897805779</v>
      </c>
      <c r="D36" s="16">
        <f>C36*E13</f>
        <v>2373.7974687286064</v>
      </c>
      <c r="E36" s="17">
        <f t="shared" si="1"/>
        <v>-33878.963615836838</v>
      </c>
      <c r="F36" s="30" t="str">
        <f t="shared" si="3"/>
        <v>Lifetime Savings</v>
      </c>
    </row>
    <row r="37" spans="1:6">
      <c r="A37" s="14">
        <v>21</v>
      </c>
      <c r="B37" s="15">
        <f t="shared" si="0"/>
        <v>-36300.400488153573</v>
      </c>
      <c r="C37" s="38">
        <f t="shared" si="2"/>
        <v>0.16345421355761894</v>
      </c>
      <c r="D37" s="16">
        <f>C37*E13</f>
        <v>2421.2734181031783</v>
      </c>
      <c r="E37" s="17">
        <f t="shared" si="1"/>
        <v>-36300.400488153573</v>
      </c>
      <c r="F37" s="30" t="str">
        <f t="shared" si="3"/>
        <v>Lifetime Savings</v>
      </c>
    </row>
    <row r="38" spans="1:6">
      <c r="A38" s="14">
        <v>22</v>
      </c>
      <c r="B38" s="15">
        <f t="shared" si="0"/>
        <v>-38770.266097916647</v>
      </c>
      <c r="C38" s="38">
        <f t="shared" si="2"/>
        <v>0.16672329782877132</v>
      </c>
      <c r="D38" s="16">
        <f>C38*E13</f>
        <v>2469.6988864652421</v>
      </c>
      <c r="E38" s="17">
        <f t="shared" si="1"/>
        <v>-38770.266097916647</v>
      </c>
      <c r="F38" s="30" t="str">
        <f t="shared" si="3"/>
        <v>Lifetime Savings</v>
      </c>
    </row>
    <row r="39" spans="1:6">
      <c r="A39" s="14">
        <v>23</v>
      </c>
      <c r="B39" s="15">
        <f t="shared" si="0"/>
        <v>-41289.529019874979</v>
      </c>
      <c r="C39" s="38">
        <f t="shared" si="2"/>
        <v>0.17005776378534676</v>
      </c>
      <c r="D39" s="16">
        <f>C39*E13</f>
        <v>2519.092864194547</v>
      </c>
      <c r="E39" s="17">
        <f t="shared" si="1"/>
        <v>-41289.529019874979</v>
      </c>
      <c r="F39" s="30" t="str">
        <f t="shared" si="3"/>
        <v>Lifetime Savings</v>
      </c>
    </row>
    <row r="40" spans="1:6">
      <c r="A40" s="14">
        <v>24</v>
      </c>
      <c r="B40" s="15">
        <f t="shared" si="0"/>
        <v>-43859.177200272476</v>
      </c>
      <c r="C40" s="38">
        <f t="shared" si="2"/>
        <v>0.17345891906105371</v>
      </c>
      <c r="D40" s="16">
        <f>C40*E13</f>
        <v>2569.4747214784384</v>
      </c>
      <c r="E40" s="17">
        <f t="shared" si="1"/>
        <v>-43859.177200272476</v>
      </c>
      <c r="F40" s="30" t="str">
        <f t="shared" si="3"/>
        <v>Lifetime Savings</v>
      </c>
    </row>
    <row r="41" spans="1:6">
      <c r="A41" s="14">
        <v>25</v>
      </c>
      <c r="B41" s="15">
        <f t="shared" si="0"/>
        <v>-46480.218344277921</v>
      </c>
      <c r="C41" s="38">
        <f t="shared" si="2"/>
        <v>0.17692809744227478</v>
      </c>
      <c r="D41" s="16">
        <f>C41*E13</f>
        <v>2620.8642159080068</v>
      </c>
      <c r="E41" s="17">
        <f t="shared" si="1"/>
        <v>-46480.218344277921</v>
      </c>
      <c r="F41" s="30" t="str">
        <f t="shared" si="3"/>
        <v>Lifetime Savings</v>
      </c>
    </row>
    <row r="42" spans="1:6">
      <c r="A42" s="5"/>
      <c r="B42" s="5"/>
      <c r="D42" s="32" t="s">
        <v>13</v>
      </c>
      <c r="E42" s="31">
        <f>SUM(D17:D41)-F8</f>
        <v>46476.695011308366</v>
      </c>
      <c r="F42" s="19"/>
    </row>
    <row r="43" spans="1:6">
      <c r="A43" s="18"/>
      <c r="B43" s="18"/>
      <c r="C43" s="18"/>
      <c r="D43" s="18"/>
      <c r="E43" s="18"/>
      <c r="F43" s="18"/>
    </row>
    <row r="44" spans="1:6">
      <c r="A44" s="10"/>
      <c r="B44" s="10"/>
      <c r="C44" s="10"/>
      <c r="D44" s="10"/>
      <c r="E44" s="10"/>
      <c r="F44" s="10"/>
    </row>
  </sheetData>
  <mergeCells count="7">
    <mergeCell ref="A3:C3"/>
    <mergeCell ref="E3:F3"/>
    <mergeCell ref="C10:F10"/>
    <mergeCell ref="A4:B4"/>
    <mergeCell ref="A5:B5"/>
    <mergeCell ref="A6:B6"/>
    <mergeCell ref="A8:E8"/>
  </mergeCells>
  <conditionalFormatting sqref="E17:E41">
    <cfRule type="cellIs" dxfId="74" priority="11" operator="lessThan">
      <formula>0</formula>
    </cfRule>
    <cfRule type="cellIs" dxfId="73" priority="12" operator="greaterThan">
      <formula>0</formula>
    </cfRule>
  </conditionalFormatting>
  <conditionalFormatting sqref="B16:B41">
    <cfRule type="cellIs" dxfId="72" priority="9" operator="lessThan">
      <formula>0</formula>
    </cfRule>
    <cfRule type="cellIs" dxfId="71" priority="10" operator="greaterThan">
      <formula>0</formula>
    </cfRule>
  </conditionalFormatting>
  <conditionalFormatting sqref="F17:F41">
    <cfRule type="containsText" dxfId="70" priority="1" operator="containsText" text="Lifetime Savings">
      <formula>NOT(ISERROR(SEARCH("Lifetime Savings",F17)))</formula>
    </cfRule>
    <cfRule type="containsText" dxfId="69" priority="2" operator="containsText" text="Lifetime Savngs">
      <formula>NOT(ISERROR(SEARCH("Lifetime Savngs",F17)))</formula>
    </cfRule>
    <cfRule type="containsText" dxfId="68" priority="3" operator="containsText" text="Payback Period">
      <formula>NOT(ISERROR(SEARCH("Payback Period",F17)))</formula>
    </cfRule>
  </conditionalFormatting>
  <pageMargins left="0.70866141732283461" right="0.70866141732283461" top="1.8229166666666667" bottom="0.89583333333333337" header="0.31496062992125984" footer="0.31496062992125984"/>
  <pageSetup paperSize="9" fitToWidth="0" orientation="portrait" r:id="rId1"/>
  <headerFooter alignWithMargins="0">
    <oddHeader>&amp;C&amp;G</oddHeader>
    <oddFooter>&amp;C&amp;"-,Bold"&amp;K03+000Telephone:&amp;"-,Regular" 0113 271 7588 
&amp;"-,Bold"Email:&amp;"-,Regular" info@wilsonpowersolutions.co.uk 
&amp;"-,Bold"Address:&amp;"-,Regular" Westland Works, Westland Square, Leeds, LS11 5SS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44"/>
  <sheetViews>
    <sheetView view="pageLayout" zoomScaleNormal="100" workbookViewId="0">
      <selection activeCell="E42" sqref="E42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4.81640625" style="4" bestFit="1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9" t="s">
        <v>24</v>
      </c>
      <c r="C1" s="10"/>
      <c r="D1" s="10"/>
      <c r="E1" s="10"/>
      <c r="F1" s="10"/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">
        <v>22</v>
      </c>
      <c r="B3" s="128"/>
      <c r="C3" s="128"/>
      <c r="D3" s="5"/>
      <c r="E3" s="128" t="s">
        <v>19</v>
      </c>
      <c r="F3" s="128"/>
      <c r="G3" s="3"/>
    </row>
    <row r="4" spans="1:7">
      <c r="A4" s="129" t="s">
        <v>0</v>
      </c>
      <c r="B4" s="129"/>
      <c r="C4" s="29">
        <v>14995</v>
      </c>
      <c r="D4" s="6"/>
      <c r="E4" s="8" t="s">
        <v>3</v>
      </c>
      <c r="F4" s="29">
        <v>18970</v>
      </c>
      <c r="G4" s="3"/>
    </row>
    <row r="5" spans="1:7" ht="14.25" customHeight="1">
      <c r="A5" s="129" t="s">
        <v>1</v>
      </c>
      <c r="B5" s="129"/>
      <c r="C5" s="7">
        <v>950</v>
      </c>
      <c r="D5" s="5"/>
      <c r="E5" s="8" t="s">
        <v>4</v>
      </c>
      <c r="F5" s="7">
        <v>550</v>
      </c>
      <c r="G5" s="3"/>
    </row>
    <row r="6" spans="1:7">
      <c r="A6" s="129" t="s">
        <v>2</v>
      </c>
      <c r="B6" s="129"/>
      <c r="C6" s="7">
        <v>11000</v>
      </c>
      <c r="D6" s="5"/>
      <c r="E6" s="8" t="s">
        <v>2</v>
      </c>
      <c r="F6" s="7">
        <v>9500</v>
      </c>
      <c r="G6" s="3"/>
    </row>
    <row r="7" spans="1:7" ht="7.5" customHeight="1">
      <c r="A7" s="37"/>
      <c r="B7" s="37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34">
        <f>F4-C4</f>
        <v>3975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1">
      <c r="A10" s="20" t="s">
        <v>5</v>
      </c>
      <c r="B10" s="20" t="s">
        <v>6</v>
      </c>
      <c r="C10" s="127" t="s">
        <v>8</v>
      </c>
      <c r="D10" s="127"/>
      <c r="E10" s="127"/>
      <c r="F10" s="127"/>
    </row>
    <row r="11" spans="1:7" ht="30" customHeight="1">
      <c r="A11" s="21"/>
      <c r="B11" s="22"/>
      <c r="C11" s="23" t="s">
        <v>23</v>
      </c>
      <c r="D11" s="23" t="s">
        <v>25</v>
      </c>
      <c r="E11" s="23" t="s">
        <v>26</v>
      </c>
      <c r="F11" s="23" t="s">
        <v>7</v>
      </c>
    </row>
    <row r="12" spans="1:7">
      <c r="A12" s="24"/>
      <c r="B12" s="14"/>
      <c r="C12" s="14"/>
      <c r="D12" s="25">
        <v>70</v>
      </c>
      <c r="E12" s="14"/>
      <c r="F12" s="14" t="s">
        <v>9</v>
      </c>
    </row>
    <row r="13" spans="1:7">
      <c r="A13" s="26">
        <f>C5-F5</f>
        <v>400</v>
      </c>
      <c r="B13" s="14">
        <f>C6-F6</f>
        <v>1500</v>
      </c>
      <c r="C13" s="16">
        <f>A13*24*365/1000</f>
        <v>3504</v>
      </c>
      <c r="D13" s="14">
        <f>(B13*24*365*((D12*D12)/10000/1000))</f>
        <v>6438.5999999999995</v>
      </c>
      <c r="E13" s="27">
        <f>D13+C13</f>
        <v>9942.5999999999985</v>
      </c>
      <c r="F13" s="28">
        <f>E13*0.000537</f>
        <v>5.3391761999999998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42">
      <c r="A15" s="13" t="s">
        <v>10</v>
      </c>
      <c r="B15" s="13" t="s">
        <v>27</v>
      </c>
      <c r="C15" s="13" t="s">
        <v>28</v>
      </c>
      <c r="D15" s="13" t="s">
        <v>29</v>
      </c>
      <c r="E15" s="13" t="s">
        <v>12</v>
      </c>
      <c r="F15" s="13" t="s">
        <v>11</v>
      </c>
    </row>
    <row r="16" spans="1:7">
      <c r="A16" s="14">
        <v>0</v>
      </c>
      <c r="B16" s="15">
        <f>F8</f>
        <v>3975</v>
      </c>
      <c r="C16" s="38"/>
      <c r="D16" s="14"/>
      <c r="E16" s="14"/>
      <c r="F16" s="14"/>
    </row>
    <row r="17" spans="1:6">
      <c r="A17" s="14">
        <v>1</v>
      </c>
      <c r="B17" s="15">
        <f>E17</f>
        <v>2881.2039999999997</v>
      </c>
      <c r="C17" s="39">
        <v>0.11</v>
      </c>
      <c r="D17" s="16">
        <f>C17*E13</f>
        <v>1093.6859999999999</v>
      </c>
      <c r="E17" s="17">
        <f>B16-C17-D17</f>
        <v>2881.2039999999997</v>
      </c>
      <c r="F17" s="30" t="str">
        <f>IF(E17&gt;0,"Payback Period","Lifetime Savings")</f>
        <v>Payback Period</v>
      </c>
    </row>
    <row r="18" spans="1:6">
      <c r="A18" s="14">
        <v>2</v>
      </c>
      <c r="B18" s="15">
        <f t="shared" ref="B18:B41" si="0">E18</f>
        <v>1765.53208</v>
      </c>
      <c r="C18" s="38">
        <f>C17+(C17*2%)</f>
        <v>0.11219999999999999</v>
      </c>
      <c r="D18" s="16">
        <f>C18*E13</f>
        <v>1115.5597199999997</v>
      </c>
      <c r="E18" s="17">
        <f t="shared" ref="E18:E41" si="1">B17-C18-D18</f>
        <v>1765.53208</v>
      </c>
      <c r="F18" s="30" t="str">
        <f>IF(E18&gt;0,"Payback Period","Lifetime Savings")</f>
        <v>Payback Period</v>
      </c>
    </row>
    <row r="19" spans="1:6">
      <c r="A19" s="14">
        <v>3</v>
      </c>
      <c r="B19" s="15">
        <f t="shared" si="0"/>
        <v>627.54672160000018</v>
      </c>
      <c r="C19" s="38">
        <f t="shared" ref="C19:C41" si="2">C18+(C18*2%)</f>
        <v>0.11444399999999999</v>
      </c>
      <c r="D19" s="16">
        <f>C19*E13</f>
        <v>1137.8709143999997</v>
      </c>
      <c r="E19" s="17">
        <f t="shared" si="1"/>
        <v>627.54672160000018</v>
      </c>
      <c r="F19" s="30" t="str">
        <f t="shared" ref="F19:F41" si="3">IF(E19&gt;0,"Payback Period","Lifetime Savings")</f>
        <v>Payback Period</v>
      </c>
    </row>
    <row r="20" spans="1:6">
      <c r="A20" s="14">
        <v>4</v>
      </c>
      <c r="B20" s="15">
        <f t="shared" si="0"/>
        <v>-533.19834396799956</v>
      </c>
      <c r="C20" s="38">
        <f t="shared" si="2"/>
        <v>0.11673287999999998</v>
      </c>
      <c r="D20" s="16">
        <f>C20*E13</f>
        <v>1160.6283326879998</v>
      </c>
      <c r="E20" s="17">
        <f t="shared" si="1"/>
        <v>-533.19834396799956</v>
      </c>
      <c r="F20" s="30" t="str">
        <f t="shared" si="3"/>
        <v>Lifetime Savings</v>
      </c>
    </row>
    <row r="21" spans="1:6">
      <c r="A21" s="14">
        <v>5</v>
      </c>
      <c r="B21" s="15">
        <f t="shared" si="0"/>
        <v>-1717.1583108473592</v>
      </c>
      <c r="C21" s="38">
        <f t="shared" si="2"/>
        <v>0.11906753759999998</v>
      </c>
      <c r="D21" s="16">
        <f>C21*E13</f>
        <v>1183.8408993417597</v>
      </c>
      <c r="E21" s="17">
        <f t="shared" si="1"/>
        <v>-1717.1583108473592</v>
      </c>
      <c r="F21" s="30" t="str">
        <f t="shared" si="3"/>
        <v>Lifetime Savings</v>
      </c>
    </row>
    <row r="22" spans="1:6">
      <c r="A22" s="14">
        <v>6</v>
      </c>
      <c r="B22" s="15">
        <f t="shared" si="0"/>
        <v>-2924.7974770643059</v>
      </c>
      <c r="C22" s="38">
        <f t="shared" si="2"/>
        <v>0.12144888835199998</v>
      </c>
      <c r="D22" s="16">
        <f>C22*E13</f>
        <v>1207.5177173285947</v>
      </c>
      <c r="E22" s="17">
        <f t="shared" si="1"/>
        <v>-2924.7974770643059</v>
      </c>
      <c r="F22" s="30" t="str">
        <f t="shared" si="3"/>
        <v>Lifetime Savings</v>
      </c>
    </row>
    <row r="23" spans="1:6">
      <c r="A23" s="14">
        <v>7</v>
      </c>
      <c r="B23" s="15">
        <f t="shared" si="0"/>
        <v>-4156.5894266055911</v>
      </c>
      <c r="C23" s="38">
        <f t="shared" si="2"/>
        <v>0.12387786611903998</v>
      </c>
      <c r="D23" s="16">
        <f>C23*E13</f>
        <v>1231.6680716751666</v>
      </c>
      <c r="E23" s="17">
        <f t="shared" si="1"/>
        <v>-4156.5894266055911</v>
      </c>
      <c r="F23" s="30" t="str">
        <f t="shared" si="3"/>
        <v>Lifetime Savings</v>
      </c>
    </row>
    <row r="24" spans="1:6">
      <c r="A24" s="14">
        <v>8</v>
      </c>
      <c r="B24" s="15">
        <f t="shared" si="0"/>
        <v>-5413.0172151377028</v>
      </c>
      <c r="C24" s="38">
        <f t="shared" si="2"/>
        <v>0.12635542344142078</v>
      </c>
      <c r="D24" s="16">
        <f>C24*E13</f>
        <v>1256.3014331086702</v>
      </c>
      <c r="E24" s="17">
        <f t="shared" si="1"/>
        <v>-5413.0172151377028</v>
      </c>
      <c r="F24" s="30" t="str">
        <f t="shared" si="3"/>
        <v>Lifetime Savings</v>
      </c>
    </row>
    <row r="25" spans="1:6">
      <c r="A25" s="14">
        <v>9</v>
      </c>
      <c r="B25" s="15">
        <f t="shared" si="0"/>
        <v>-6694.5735594404568</v>
      </c>
      <c r="C25" s="38">
        <f t="shared" si="2"/>
        <v>0.1288825319102492</v>
      </c>
      <c r="D25" s="16">
        <f>C25*E13</f>
        <v>1281.4274617708436</v>
      </c>
      <c r="E25" s="17">
        <f t="shared" si="1"/>
        <v>-6694.5735594404568</v>
      </c>
      <c r="F25" s="30" t="str">
        <f t="shared" si="3"/>
        <v>Lifetime Savings</v>
      </c>
    </row>
    <row r="26" spans="1:6">
      <c r="A26" s="14">
        <v>10</v>
      </c>
      <c r="B26" s="15">
        <f t="shared" si="0"/>
        <v>-8001.7610306292663</v>
      </c>
      <c r="C26" s="38">
        <f t="shared" si="2"/>
        <v>0.13146018254845418</v>
      </c>
      <c r="D26" s="16">
        <f>C26*E13</f>
        <v>1307.0560110062604</v>
      </c>
      <c r="E26" s="17">
        <f t="shared" si="1"/>
        <v>-8001.7610306292663</v>
      </c>
      <c r="F26" s="30" t="str">
        <f t="shared" si="3"/>
        <v>Lifetime Savings</v>
      </c>
    </row>
    <row r="27" spans="1:6">
      <c r="A27" s="14">
        <v>11</v>
      </c>
      <c r="B27" s="15">
        <f t="shared" si="0"/>
        <v>-9335.092251241851</v>
      </c>
      <c r="C27" s="38">
        <f t="shared" si="2"/>
        <v>0.13408938619942326</v>
      </c>
      <c r="D27" s="16">
        <f>C27*E13</f>
        <v>1333.1971312263854</v>
      </c>
      <c r="E27" s="17">
        <f t="shared" si="1"/>
        <v>-9335.092251241851</v>
      </c>
      <c r="F27" s="30" t="str">
        <f t="shared" si="3"/>
        <v>Lifetime Savings</v>
      </c>
    </row>
    <row r="28" spans="1:6">
      <c r="A28" s="14">
        <v>12</v>
      </c>
      <c r="B28" s="15">
        <f t="shared" si="0"/>
        <v>-10695.090096266689</v>
      </c>
      <c r="C28" s="38">
        <f t="shared" si="2"/>
        <v>0.13677117392341173</v>
      </c>
      <c r="D28" s="16">
        <f>C28*E13</f>
        <v>1359.8610738509133</v>
      </c>
      <c r="E28" s="17">
        <f t="shared" si="1"/>
        <v>-10695.090096266689</v>
      </c>
      <c r="F28" s="30" t="str">
        <f t="shared" si="3"/>
        <v>Lifetime Savings</v>
      </c>
    </row>
    <row r="29" spans="1:6">
      <c r="A29" s="14">
        <v>13</v>
      </c>
      <c r="B29" s="15">
        <f t="shared" si="0"/>
        <v>-12082.287898192022</v>
      </c>
      <c r="C29" s="38">
        <f t="shared" si="2"/>
        <v>0.13950659740187996</v>
      </c>
      <c r="D29" s="16">
        <f>C29*E13</f>
        <v>1387.0582953279315</v>
      </c>
      <c r="E29" s="17">
        <f t="shared" si="1"/>
        <v>-12082.287898192022</v>
      </c>
      <c r="F29" s="30" t="str">
        <f t="shared" si="3"/>
        <v>Lifetime Savings</v>
      </c>
    </row>
    <row r="30" spans="1:6">
      <c r="A30" s="14">
        <v>14</v>
      </c>
      <c r="B30" s="15">
        <f t="shared" si="0"/>
        <v>-13497.229656155861</v>
      </c>
      <c r="C30" s="38">
        <f t="shared" si="2"/>
        <v>0.14229672934991755</v>
      </c>
      <c r="D30" s="16">
        <f>C30*E13</f>
        <v>1414.7994612344901</v>
      </c>
      <c r="E30" s="17">
        <f t="shared" si="1"/>
        <v>-13497.229656155861</v>
      </c>
      <c r="F30" s="30" t="str">
        <f t="shared" si="3"/>
        <v>Lifetime Savings</v>
      </c>
    </row>
    <row r="31" spans="1:6">
      <c r="A31" s="14">
        <v>15</v>
      </c>
      <c r="B31" s="15">
        <f t="shared" si="0"/>
        <v>-14940.47024927898</v>
      </c>
      <c r="C31" s="38">
        <f t="shared" si="2"/>
        <v>0.14514266393691591</v>
      </c>
      <c r="D31" s="16">
        <f>C31*E13</f>
        <v>1443.09545045918</v>
      </c>
      <c r="E31" s="17">
        <f t="shared" si="1"/>
        <v>-14940.47024927898</v>
      </c>
      <c r="F31" s="30" t="str">
        <f t="shared" si="3"/>
        <v>Lifetime Savings</v>
      </c>
    </row>
    <row r="32" spans="1:6">
      <c r="A32" s="14">
        <v>16</v>
      </c>
      <c r="B32" s="15">
        <f t="shared" si="0"/>
        <v>-16412.575654264558</v>
      </c>
      <c r="C32" s="38">
        <f t="shared" si="2"/>
        <v>0.14804551721565423</v>
      </c>
      <c r="D32" s="16">
        <f>C32*E13</f>
        <v>1471.9573594683636</v>
      </c>
      <c r="E32" s="17">
        <f t="shared" si="1"/>
        <v>-16412.575654264558</v>
      </c>
      <c r="F32" s="30" t="str">
        <f t="shared" si="3"/>
        <v>Lifetime Savings</v>
      </c>
    </row>
    <row r="33" spans="1:7">
      <c r="A33" s="14">
        <v>17</v>
      </c>
      <c r="B33" s="15">
        <f t="shared" si="0"/>
        <v>-17914.123167349848</v>
      </c>
      <c r="C33" s="38">
        <f t="shared" si="2"/>
        <v>0.15100642755996732</v>
      </c>
      <c r="D33" s="16">
        <f>C33*E13</f>
        <v>1501.3965066577309</v>
      </c>
      <c r="E33" s="17">
        <f t="shared" si="1"/>
        <v>-17914.123167349848</v>
      </c>
      <c r="F33" s="30" t="str">
        <f t="shared" si="3"/>
        <v>Lifetime Savings</v>
      </c>
    </row>
    <row r="34" spans="1:7">
      <c r="A34" s="14">
        <v>18</v>
      </c>
      <c r="B34" s="15">
        <f t="shared" si="0"/>
        <v>-19445.701630696847</v>
      </c>
      <c r="C34" s="38">
        <f t="shared" si="2"/>
        <v>0.15402655611116667</v>
      </c>
      <c r="D34" s="16">
        <f>C34*E13</f>
        <v>1531.4244367908855</v>
      </c>
      <c r="E34" s="17">
        <f t="shared" si="1"/>
        <v>-19445.701630696847</v>
      </c>
      <c r="F34" s="30" t="str">
        <f t="shared" si="3"/>
        <v>Lifetime Savings</v>
      </c>
    </row>
    <row r="35" spans="1:7">
      <c r="A35" s="14">
        <v>19</v>
      </c>
      <c r="B35" s="15">
        <f t="shared" si="0"/>
        <v>-21007.911663310784</v>
      </c>
      <c r="C35" s="38">
        <f t="shared" si="2"/>
        <v>0.15710708723339001</v>
      </c>
      <c r="D35" s="16">
        <f>C35*E13</f>
        <v>1562.0529255267033</v>
      </c>
      <c r="E35" s="17">
        <f t="shared" si="1"/>
        <v>-21007.911663310784</v>
      </c>
      <c r="F35" s="30" t="str">
        <f t="shared" si="3"/>
        <v>Lifetime Savings</v>
      </c>
    </row>
    <row r="36" spans="1:7">
      <c r="A36" s="14">
        <v>20</v>
      </c>
      <c r="B36" s="15">
        <f t="shared" si="0"/>
        <v>-22601.365896577001</v>
      </c>
      <c r="C36" s="38">
        <f t="shared" si="2"/>
        <v>0.16024922897805779</v>
      </c>
      <c r="D36" s="16">
        <f>C36*E13</f>
        <v>1593.2939840372371</v>
      </c>
      <c r="E36" s="17">
        <f t="shared" si="1"/>
        <v>-22601.365896577001</v>
      </c>
      <c r="F36" s="30" t="str">
        <f t="shared" si="3"/>
        <v>Lifetime Savings</v>
      </c>
    </row>
    <row r="37" spans="1:7">
      <c r="A37" s="14">
        <v>21</v>
      </c>
      <c r="B37" s="15">
        <f t="shared" si="0"/>
        <v>-24226.68921450854</v>
      </c>
      <c r="C37" s="38">
        <f t="shared" si="2"/>
        <v>0.16345421355761894</v>
      </c>
      <c r="D37" s="16">
        <f>C37*E13</f>
        <v>1625.1598637179818</v>
      </c>
      <c r="E37" s="17">
        <f t="shared" si="1"/>
        <v>-24226.68921450854</v>
      </c>
      <c r="F37" s="30" t="str">
        <f t="shared" si="3"/>
        <v>Lifetime Savings</v>
      </c>
    </row>
    <row r="38" spans="1:7">
      <c r="A38" s="14">
        <v>22</v>
      </c>
      <c r="B38" s="15">
        <f t="shared" si="0"/>
        <v>-25884.518998798711</v>
      </c>
      <c r="C38" s="38">
        <f t="shared" si="2"/>
        <v>0.16672329782877132</v>
      </c>
      <c r="D38" s="16">
        <f>C38*E13</f>
        <v>1657.6630609923416</v>
      </c>
      <c r="E38" s="17">
        <f t="shared" si="1"/>
        <v>-25884.518998798711</v>
      </c>
      <c r="F38" s="30" t="str">
        <f t="shared" si="3"/>
        <v>Lifetime Savings</v>
      </c>
    </row>
    <row r="39" spans="1:7">
      <c r="A39" s="14">
        <v>23</v>
      </c>
      <c r="B39" s="15">
        <f t="shared" si="0"/>
        <v>-27575.505378774684</v>
      </c>
      <c r="C39" s="38">
        <f t="shared" si="2"/>
        <v>0.17005776378534676</v>
      </c>
      <c r="D39" s="16">
        <f>C39*E13</f>
        <v>1690.8163222121884</v>
      </c>
      <c r="E39" s="17">
        <f t="shared" si="1"/>
        <v>-27575.505378774684</v>
      </c>
      <c r="F39" s="30" t="str">
        <f t="shared" si="3"/>
        <v>Lifetime Savings</v>
      </c>
    </row>
    <row r="40" spans="1:7">
      <c r="A40" s="14">
        <v>24</v>
      </c>
      <c r="B40" s="15">
        <f t="shared" si="0"/>
        <v>-29300.311486350176</v>
      </c>
      <c r="C40" s="38">
        <f t="shared" si="2"/>
        <v>0.17345891906105371</v>
      </c>
      <c r="D40" s="16">
        <f>C40*E13</f>
        <v>1724.6326486564324</v>
      </c>
      <c r="E40" s="17">
        <f t="shared" si="1"/>
        <v>-29300.311486350176</v>
      </c>
      <c r="F40" s="30" t="str">
        <f t="shared" si="3"/>
        <v>Lifetime Savings</v>
      </c>
    </row>
    <row r="41" spans="1:7">
      <c r="A41" s="14">
        <v>25</v>
      </c>
      <c r="B41" s="15">
        <f t="shared" si="0"/>
        <v>-31059.61371607718</v>
      </c>
      <c r="C41" s="38">
        <f t="shared" si="2"/>
        <v>0.17692809744227478</v>
      </c>
      <c r="D41" s="16">
        <f>C41*E13</f>
        <v>1759.1253016295609</v>
      </c>
      <c r="E41" s="17">
        <f t="shared" si="1"/>
        <v>-31059.61371607718</v>
      </c>
      <c r="F41" s="30" t="str">
        <f t="shared" si="3"/>
        <v>Lifetime Savings</v>
      </c>
    </row>
    <row r="42" spans="1:7">
      <c r="A42" s="5"/>
      <c r="B42" s="5"/>
      <c r="D42" s="32" t="s">
        <v>13</v>
      </c>
      <c r="E42" s="31">
        <f>SUM(D17:D41)-F8</f>
        <v>31056.090383107621</v>
      </c>
      <c r="F42" s="19"/>
    </row>
    <row r="43" spans="1:7" ht="15" customHeight="1">
      <c r="A43" s="18"/>
      <c r="B43" s="18"/>
      <c r="C43" s="18"/>
      <c r="D43" s="18"/>
      <c r="E43" s="18"/>
      <c r="F43" s="18"/>
    </row>
    <row r="44" spans="1:7" ht="14.5">
      <c r="A44" s="10"/>
      <c r="B44" s="10"/>
      <c r="C44" s="10"/>
      <c r="D44" s="10"/>
      <c r="E44" s="10"/>
      <c r="F44" s="10"/>
      <c r="G44" s="2"/>
    </row>
  </sheetData>
  <mergeCells count="7">
    <mergeCell ref="C10:F10"/>
    <mergeCell ref="A3:C3"/>
    <mergeCell ref="E3:F3"/>
    <mergeCell ref="A4:B4"/>
    <mergeCell ref="A5:B5"/>
    <mergeCell ref="A6:B6"/>
    <mergeCell ref="A8:E8"/>
  </mergeCells>
  <conditionalFormatting sqref="E17:E41">
    <cfRule type="cellIs" dxfId="67" priority="6" operator="lessThan">
      <formula>0</formula>
    </cfRule>
    <cfRule type="cellIs" dxfId="66" priority="7" operator="greaterThan">
      <formula>0</formula>
    </cfRule>
  </conditionalFormatting>
  <conditionalFormatting sqref="B16:B41">
    <cfRule type="cellIs" dxfId="65" priority="4" operator="lessThan">
      <formula>0</formula>
    </cfRule>
    <cfRule type="cellIs" dxfId="64" priority="5" operator="greaterThan">
      <formula>0</formula>
    </cfRule>
  </conditionalFormatting>
  <conditionalFormatting sqref="F17:F41">
    <cfRule type="containsText" dxfId="63" priority="1" operator="containsText" text="Lifetime Savings">
      <formula>NOT(ISERROR(SEARCH("Lifetime Savings",F17)))</formula>
    </cfRule>
    <cfRule type="containsText" dxfId="62" priority="2" operator="containsText" text="Lifetime Savngs">
      <formula>NOT(ISERROR(SEARCH("Lifetime Savngs",F17)))</formula>
    </cfRule>
    <cfRule type="containsText" dxfId="61" priority="3" operator="containsText" text="Payback Period">
      <formula>NOT(ISERROR(SEARCH("Payback Period",F17)))</formula>
    </cfRule>
  </conditionalFormatting>
  <pageMargins left="0.7" right="0.7" top="1.8125" bottom="0.875" header="0.3" footer="0.3"/>
  <pageSetup paperSize="9" orientation="portrait" verticalDpi="1200" r:id="rId1"/>
  <headerFooter>
    <oddHeader>&amp;C&amp;G</oddHeader>
    <oddFooter>&amp;C&amp;"-,Bold"&amp;K03+000Telephone: &amp;"-,Regular"0113 271 7588 
&amp;"-,Bold"Email: &amp;"-,Regular"info@wilsonpowersolutions.co.uk 
&amp;"-,Bold"Address:&amp;"-,Regular" Westland Works, Westland Square, Leeds, LS11 5SS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44"/>
  <sheetViews>
    <sheetView view="pageLayout" zoomScaleNormal="100" workbookViewId="0">
      <selection activeCell="E42" sqref="E42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4.81640625" style="4" bestFit="1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9" t="s">
        <v>20</v>
      </c>
      <c r="C1" s="10"/>
      <c r="D1" s="10"/>
      <c r="E1" s="10"/>
      <c r="F1" s="10"/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">
        <v>22</v>
      </c>
      <c r="B3" s="128"/>
      <c r="C3" s="128"/>
      <c r="D3" s="5"/>
      <c r="E3" s="128" t="s">
        <v>19</v>
      </c>
      <c r="F3" s="128"/>
      <c r="G3" s="3"/>
    </row>
    <row r="4" spans="1:7">
      <c r="A4" s="129" t="s">
        <v>0</v>
      </c>
      <c r="B4" s="129"/>
      <c r="C4" s="29">
        <v>17240</v>
      </c>
      <c r="D4" s="6"/>
      <c r="E4" s="8" t="s">
        <v>3</v>
      </c>
      <c r="F4" s="29">
        <v>22150</v>
      </c>
      <c r="G4" s="3"/>
    </row>
    <row r="5" spans="1:7" ht="14.25" customHeight="1">
      <c r="A5" s="129" t="s">
        <v>1</v>
      </c>
      <c r="B5" s="129"/>
      <c r="C5" s="7">
        <v>1125</v>
      </c>
      <c r="D5" s="5"/>
      <c r="E5" s="8" t="s">
        <v>4</v>
      </c>
      <c r="F5" s="7">
        <v>625</v>
      </c>
      <c r="G5" s="3"/>
    </row>
    <row r="6" spans="1:7">
      <c r="A6" s="129" t="s">
        <v>2</v>
      </c>
      <c r="B6" s="129"/>
      <c r="C6" s="7">
        <v>13140</v>
      </c>
      <c r="D6" s="5"/>
      <c r="E6" s="8" t="s">
        <v>2</v>
      </c>
      <c r="F6" s="7">
        <v>11285</v>
      </c>
      <c r="G6" s="3"/>
    </row>
    <row r="7" spans="1:7" ht="7.5" customHeight="1">
      <c r="A7" s="37"/>
      <c r="B7" s="37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34">
        <f>F4-C4</f>
        <v>4910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1">
      <c r="A10" s="20" t="s">
        <v>5</v>
      </c>
      <c r="B10" s="20" t="s">
        <v>6</v>
      </c>
      <c r="C10" s="127" t="s">
        <v>8</v>
      </c>
      <c r="D10" s="127"/>
      <c r="E10" s="127"/>
      <c r="F10" s="127"/>
    </row>
    <row r="11" spans="1:7" ht="30" customHeight="1">
      <c r="A11" s="21"/>
      <c r="B11" s="22"/>
      <c r="C11" s="23" t="s">
        <v>23</v>
      </c>
      <c r="D11" s="23" t="s">
        <v>25</v>
      </c>
      <c r="E11" s="23" t="s">
        <v>26</v>
      </c>
      <c r="F11" s="23" t="s">
        <v>7</v>
      </c>
    </row>
    <row r="12" spans="1:7">
      <c r="A12" s="24"/>
      <c r="B12" s="14"/>
      <c r="C12" s="14"/>
      <c r="D12" s="25">
        <v>70</v>
      </c>
      <c r="E12" s="14"/>
      <c r="F12" s="14" t="s">
        <v>9</v>
      </c>
    </row>
    <row r="13" spans="1:7">
      <c r="A13" s="26">
        <f>C5-F5</f>
        <v>500</v>
      </c>
      <c r="B13" s="14">
        <f>C6-F6</f>
        <v>1855</v>
      </c>
      <c r="C13" s="16">
        <f>A13*24*365/1000</f>
        <v>4380</v>
      </c>
      <c r="D13" s="14">
        <f>(B13*24*365*((D12*D12)/10000/1000))</f>
        <v>7962.402</v>
      </c>
      <c r="E13" s="27">
        <f>D13+C13</f>
        <v>12342.402</v>
      </c>
      <c r="F13" s="28">
        <f>E13*0.000537</f>
        <v>6.6278698740000008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42">
      <c r="A15" s="13" t="s">
        <v>10</v>
      </c>
      <c r="B15" s="13" t="s">
        <v>27</v>
      </c>
      <c r="C15" s="13" t="s">
        <v>28</v>
      </c>
      <c r="D15" s="13" t="s">
        <v>29</v>
      </c>
      <c r="E15" s="13" t="s">
        <v>12</v>
      </c>
      <c r="F15" s="13" t="s">
        <v>11</v>
      </c>
    </row>
    <row r="16" spans="1:7">
      <c r="A16" s="14">
        <v>0</v>
      </c>
      <c r="B16" s="15">
        <f>F8</f>
        <v>4910</v>
      </c>
      <c r="C16" s="38"/>
      <c r="D16" s="14"/>
      <c r="E16" s="14"/>
      <c r="F16" s="14"/>
    </row>
    <row r="17" spans="1:6">
      <c r="A17" s="14">
        <v>1</v>
      </c>
      <c r="B17" s="15">
        <f>E17</f>
        <v>3552.2257800000002</v>
      </c>
      <c r="C17" s="39">
        <v>0.11</v>
      </c>
      <c r="D17" s="16">
        <f>C17*E13</f>
        <v>1357.6642200000001</v>
      </c>
      <c r="E17" s="17">
        <f>B16-C17-D17</f>
        <v>3552.2257800000002</v>
      </c>
      <c r="F17" s="30" t="str">
        <f>IF(E17&gt;0,"Payback Period","Lifetime Savings")</f>
        <v>Payback Period</v>
      </c>
    </row>
    <row r="18" spans="1:6">
      <c r="A18" s="14">
        <v>2</v>
      </c>
      <c r="B18" s="15">
        <f t="shared" ref="B18:B41" si="0">E18</f>
        <v>2167.2960756000002</v>
      </c>
      <c r="C18" s="38">
        <f>C17+(C17*2%)</f>
        <v>0.11219999999999999</v>
      </c>
      <c r="D18" s="16">
        <f>C18*E13</f>
        <v>1384.8175044</v>
      </c>
      <c r="E18" s="17">
        <f t="shared" ref="E18:E41" si="1">B17-C18-D18</f>
        <v>2167.2960756000002</v>
      </c>
      <c r="F18" s="30" t="str">
        <f>IF(E18&gt;0,"Payback Period","Lifetime Savings")</f>
        <v>Payback Period</v>
      </c>
    </row>
    <row r="19" spans="1:6">
      <c r="A19" s="14">
        <v>3</v>
      </c>
      <c r="B19" s="15">
        <f t="shared" si="0"/>
        <v>754.66777711200052</v>
      </c>
      <c r="C19" s="38">
        <f t="shared" ref="C19:C41" si="2">C18+(C18*2%)</f>
        <v>0.11444399999999999</v>
      </c>
      <c r="D19" s="16">
        <f>C19*E13</f>
        <v>1412.5138544879999</v>
      </c>
      <c r="E19" s="17">
        <f t="shared" si="1"/>
        <v>754.66777711200052</v>
      </c>
      <c r="F19" s="30" t="str">
        <f t="shared" ref="F19:F41" si="3">IF(E19&gt;0,"Payback Period","Lifetime Savings")</f>
        <v>Payback Period</v>
      </c>
    </row>
    <row r="20" spans="1:6">
      <c r="A20" s="14">
        <v>4</v>
      </c>
      <c r="B20" s="15">
        <f t="shared" si="0"/>
        <v>-686.21308734575928</v>
      </c>
      <c r="C20" s="38">
        <f t="shared" si="2"/>
        <v>0.11673287999999998</v>
      </c>
      <c r="D20" s="16">
        <f>C20*E13</f>
        <v>1440.7641315777598</v>
      </c>
      <c r="E20" s="17">
        <f t="shared" si="1"/>
        <v>-686.21308734575928</v>
      </c>
      <c r="F20" s="30" t="str">
        <f t="shared" si="3"/>
        <v>Lifetime Savings</v>
      </c>
    </row>
    <row r="21" spans="1:6">
      <c r="A21" s="14">
        <v>5</v>
      </c>
      <c r="B21" s="15">
        <f t="shared" si="0"/>
        <v>-2155.9115690926742</v>
      </c>
      <c r="C21" s="38">
        <f t="shared" si="2"/>
        <v>0.11906753759999998</v>
      </c>
      <c r="D21" s="16">
        <f>C21*E13</f>
        <v>1469.579414209315</v>
      </c>
      <c r="E21" s="17">
        <f t="shared" si="1"/>
        <v>-2155.9115690926742</v>
      </c>
      <c r="F21" s="30" t="str">
        <f t="shared" si="3"/>
        <v>Lifetime Savings</v>
      </c>
    </row>
    <row r="22" spans="1:6">
      <c r="A22" s="14">
        <v>6</v>
      </c>
      <c r="B22" s="15">
        <f t="shared" si="0"/>
        <v>-3655.0040204745274</v>
      </c>
      <c r="C22" s="38">
        <f t="shared" si="2"/>
        <v>0.12144888835199998</v>
      </c>
      <c r="D22" s="16">
        <f>C22*E13</f>
        <v>1498.9710024935011</v>
      </c>
      <c r="E22" s="17">
        <f t="shared" si="1"/>
        <v>-3655.0040204745274</v>
      </c>
      <c r="F22" s="30" t="str">
        <f t="shared" si="3"/>
        <v>Lifetime Savings</v>
      </c>
    </row>
    <row r="23" spans="1:6">
      <c r="A23" s="14">
        <v>7</v>
      </c>
      <c r="B23" s="15">
        <f t="shared" si="0"/>
        <v>-5184.0783208840176</v>
      </c>
      <c r="C23" s="38">
        <f t="shared" si="2"/>
        <v>0.12387786611903998</v>
      </c>
      <c r="D23" s="16">
        <f>C23*E13</f>
        <v>1528.9504225433711</v>
      </c>
      <c r="E23" s="17">
        <f t="shared" si="1"/>
        <v>-5184.0783208840176</v>
      </c>
      <c r="F23" s="30" t="str">
        <f t="shared" si="3"/>
        <v>Lifetime Savings</v>
      </c>
    </row>
    <row r="24" spans="1:6">
      <c r="A24" s="14">
        <v>8</v>
      </c>
      <c r="B24" s="15">
        <f t="shared" si="0"/>
        <v>-6743.7341073016978</v>
      </c>
      <c r="C24" s="38">
        <f t="shared" si="2"/>
        <v>0.12635542344142078</v>
      </c>
      <c r="D24" s="16">
        <f>C24*E13</f>
        <v>1559.5294309942387</v>
      </c>
      <c r="E24" s="17">
        <f t="shared" si="1"/>
        <v>-6743.7341073016978</v>
      </c>
      <c r="F24" s="30" t="str">
        <f t="shared" si="3"/>
        <v>Lifetime Savings</v>
      </c>
    </row>
    <row r="25" spans="1:6">
      <c r="A25" s="14">
        <v>9</v>
      </c>
      <c r="B25" s="15">
        <f t="shared" si="0"/>
        <v>-8334.5830094477315</v>
      </c>
      <c r="C25" s="38">
        <f t="shared" si="2"/>
        <v>0.1288825319102492</v>
      </c>
      <c r="D25" s="16">
        <f>C25*E13</f>
        <v>1590.7200196141237</v>
      </c>
      <c r="E25" s="17">
        <f t="shared" si="1"/>
        <v>-8334.5830094477315</v>
      </c>
      <c r="F25" s="30" t="str">
        <f t="shared" si="3"/>
        <v>Lifetime Savings</v>
      </c>
    </row>
    <row r="26" spans="1:6">
      <c r="A26" s="14">
        <v>10</v>
      </c>
      <c r="B26" s="15">
        <f t="shared" si="0"/>
        <v>-9957.2488896366867</v>
      </c>
      <c r="C26" s="38">
        <f t="shared" si="2"/>
        <v>0.13146018254845418</v>
      </c>
      <c r="D26" s="16">
        <f>C26*E13</f>
        <v>1622.534420006406</v>
      </c>
      <c r="E26" s="17">
        <f t="shared" si="1"/>
        <v>-9957.2488896366867</v>
      </c>
      <c r="F26" s="30" t="str">
        <f t="shared" si="3"/>
        <v>Lifetime Savings</v>
      </c>
    </row>
    <row r="27" spans="1:6">
      <c r="A27" s="14">
        <v>11</v>
      </c>
      <c r="B27" s="15">
        <f t="shared" si="0"/>
        <v>-11612.36808742942</v>
      </c>
      <c r="C27" s="38">
        <f t="shared" si="2"/>
        <v>0.13408938619942326</v>
      </c>
      <c r="D27" s="16">
        <f>C27*E13</f>
        <v>1654.985108406534</v>
      </c>
      <c r="E27" s="17">
        <f t="shared" si="1"/>
        <v>-11612.36808742942</v>
      </c>
      <c r="F27" s="30" t="str">
        <f t="shared" si="3"/>
        <v>Lifetime Savings</v>
      </c>
    </row>
    <row r="28" spans="1:6">
      <c r="A28" s="14">
        <v>12</v>
      </c>
      <c r="B28" s="15">
        <f t="shared" si="0"/>
        <v>-13300.589669178009</v>
      </c>
      <c r="C28" s="38">
        <f t="shared" si="2"/>
        <v>0.13677117392341173</v>
      </c>
      <c r="D28" s="16">
        <f>C28*E13</f>
        <v>1688.0848105746647</v>
      </c>
      <c r="E28" s="17">
        <f t="shared" si="1"/>
        <v>-13300.589669178009</v>
      </c>
      <c r="F28" s="30" t="str">
        <f t="shared" si="3"/>
        <v>Lifetime Savings</v>
      </c>
    </row>
    <row r="29" spans="1:6">
      <c r="A29" s="14">
        <v>13</v>
      </c>
      <c r="B29" s="15">
        <f t="shared" si="0"/>
        <v>-15022.575682561568</v>
      </c>
      <c r="C29" s="38">
        <f t="shared" si="2"/>
        <v>0.13950659740187996</v>
      </c>
      <c r="D29" s="16">
        <f>C29*E13</f>
        <v>1721.846506786158</v>
      </c>
      <c r="E29" s="17">
        <f t="shared" si="1"/>
        <v>-15022.575682561568</v>
      </c>
      <c r="F29" s="30" t="str">
        <f t="shared" si="3"/>
        <v>Lifetime Savings</v>
      </c>
    </row>
    <row r="30" spans="1:6">
      <c r="A30" s="14">
        <v>14</v>
      </c>
      <c r="B30" s="15">
        <f t="shared" si="0"/>
        <v>-16779.001416212799</v>
      </c>
      <c r="C30" s="38">
        <f t="shared" si="2"/>
        <v>0.14229672934991755</v>
      </c>
      <c r="D30" s="16">
        <f>C30*E13</f>
        <v>1756.283436921881</v>
      </c>
      <c r="E30" s="17">
        <f t="shared" si="1"/>
        <v>-16779.001416212799</v>
      </c>
      <c r="F30" s="30" t="str">
        <f t="shared" si="3"/>
        <v>Lifetime Savings</v>
      </c>
    </row>
    <row r="31" spans="1:6">
      <c r="A31" s="14">
        <v>15</v>
      </c>
      <c r="B31" s="15">
        <f t="shared" si="0"/>
        <v>-18570.555664537053</v>
      </c>
      <c r="C31" s="38">
        <f t="shared" si="2"/>
        <v>0.14514266393691591</v>
      </c>
      <c r="D31" s="16">
        <f>C31*E13</f>
        <v>1791.4091056603188</v>
      </c>
      <c r="E31" s="17">
        <f t="shared" si="1"/>
        <v>-18570.555664537053</v>
      </c>
      <c r="F31" s="30" t="str">
        <f t="shared" si="3"/>
        <v>Lifetime Savings</v>
      </c>
    </row>
    <row r="32" spans="1:6">
      <c r="A32" s="14">
        <v>16</v>
      </c>
      <c r="B32" s="15">
        <f t="shared" si="0"/>
        <v>-20397.940997827794</v>
      </c>
      <c r="C32" s="38">
        <f t="shared" si="2"/>
        <v>0.14804551721565423</v>
      </c>
      <c r="D32" s="16">
        <f>C32*E13</f>
        <v>1827.2372877735252</v>
      </c>
      <c r="E32" s="17">
        <f t="shared" si="1"/>
        <v>-20397.940997827794</v>
      </c>
      <c r="F32" s="30" t="str">
        <f t="shared" si="3"/>
        <v>Lifetime Savings</v>
      </c>
    </row>
    <row r="33" spans="1:6">
      <c r="A33" s="14">
        <v>17</v>
      </c>
      <c r="B33" s="15">
        <f t="shared" si="0"/>
        <v>-22261.87403778435</v>
      </c>
      <c r="C33" s="38">
        <f t="shared" si="2"/>
        <v>0.15100642755996732</v>
      </c>
      <c r="D33" s="16">
        <f>C33*E13</f>
        <v>1863.7820335289957</v>
      </c>
      <c r="E33" s="17">
        <f t="shared" si="1"/>
        <v>-22261.87403778435</v>
      </c>
      <c r="F33" s="30" t="str">
        <f t="shared" si="3"/>
        <v>Lifetime Savings</v>
      </c>
    </row>
    <row r="34" spans="1:6">
      <c r="A34" s="14">
        <v>18</v>
      </c>
      <c r="B34" s="15">
        <f t="shared" si="0"/>
        <v>-24163.085738540038</v>
      </c>
      <c r="C34" s="38">
        <f t="shared" si="2"/>
        <v>0.15402655611116667</v>
      </c>
      <c r="D34" s="16">
        <f>C34*E13</f>
        <v>1901.0576741995758</v>
      </c>
      <c r="E34" s="17">
        <f t="shared" si="1"/>
        <v>-24163.085738540038</v>
      </c>
      <c r="F34" s="30" t="str">
        <f t="shared" si="3"/>
        <v>Lifetime Savings</v>
      </c>
    </row>
    <row r="35" spans="1:6">
      <c r="A35" s="14">
        <v>19</v>
      </c>
      <c r="B35" s="15">
        <f t="shared" si="0"/>
        <v>-26102.321673310838</v>
      </c>
      <c r="C35" s="38">
        <f t="shared" si="2"/>
        <v>0.15710708723339001</v>
      </c>
      <c r="D35" s="16">
        <f>C35*E13</f>
        <v>1939.0788276835674</v>
      </c>
      <c r="E35" s="17">
        <f t="shared" si="1"/>
        <v>-26102.321673310838</v>
      </c>
      <c r="F35" s="30" t="str">
        <f t="shared" si="3"/>
        <v>Lifetime Savings</v>
      </c>
    </row>
    <row r="36" spans="1:6">
      <c r="A36" s="14">
        <v>20</v>
      </c>
      <c r="B36" s="15">
        <f t="shared" si="0"/>
        <v>-28080.342326777056</v>
      </c>
      <c r="C36" s="38">
        <f t="shared" si="2"/>
        <v>0.16024922897805779</v>
      </c>
      <c r="D36" s="16">
        <f>C36*E13</f>
        <v>1977.8604042372385</v>
      </c>
      <c r="E36" s="17">
        <f t="shared" si="1"/>
        <v>-28080.342326777056</v>
      </c>
      <c r="F36" s="30" t="str">
        <f t="shared" si="3"/>
        <v>Lifetime Savings</v>
      </c>
    </row>
    <row r="37" spans="1:6">
      <c r="A37" s="14">
        <v>21</v>
      </c>
      <c r="B37" s="15">
        <f t="shared" si="0"/>
        <v>-30097.923393312598</v>
      </c>
      <c r="C37" s="38">
        <f t="shared" si="2"/>
        <v>0.16345421355761894</v>
      </c>
      <c r="D37" s="16">
        <f>C37*E13</f>
        <v>2017.4176123219831</v>
      </c>
      <c r="E37" s="17">
        <f t="shared" si="1"/>
        <v>-30097.923393312598</v>
      </c>
      <c r="F37" s="30" t="str">
        <f t="shared" si="3"/>
        <v>Lifetime Savings</v>
      </c>
    </row>
    <row r="38" spans="1:6">
      <c r="A38" s="14">
        <v>22</v>
      </c>
      <c r="B38" s="15">
        <f t="shared" si="0"/>
        <v>-32155.856081178848</v>
      </c>
      <c r="C38" s="38">
        <f t="shared" si="2"/>
        <v>0.16672329782877132</v>
      </c>
      <c r="D38" s="16">
        <f>C38*E13</f>
        <v>2057.765964568423</v>
      </c>
      <c r="E38" s="17">
        <f t="shared" si="1"/>
        <v>-32155.856081178848</v>
      </c>
      <c r="F38" s="30" t="str">
        <f t="shared" si="3"/>
        <v>Lifetime Savings</v>
      </c>
    </row>
    <row r="39" spans="1:6">
      <c r="A39" s="14">
        <v>23</v>
      </c>
      <c r="B39" s="15">
        <f t="shared" si="0"/>
        <v>-34254.947422802426</v>
      </c>
      <c r="C39" s="38">
        <f t="shared" si="2"/>
        <v>0.17005776378534676</v>
      </c>
      <c r="D39" s="16">
        <f>C39*E13</f>
        <v>2098.9212838597914</v>
      </c>
      <c r="E39" s="17">
        <f t="shared" si="1"/>
        <v>-34254.947422802426</v>
      </c>
      <c r="F39" s="30" t="str">
        <f t="shared" si="3"/>
        <v>Lifetime Savings</v>
      </c>
    </row>
    <row r="40" spans="1:6">
      <c r="A40" s="14">
        <v>24</v>
      </c>
      <c r="B40" s="15">
        <f t="shared" si="0"/>
        <v>-36396.020591258472</v>
      </c>
      <c r="C40" s="38">
        <f t="shared" si="2"/>
        <v>0.17345891906105371</v>
      </c>
      <c r="D40" s="16">
        <f>C40*E13</f>
        <v>2140.8997095369873</v>
      </c>
      <c r="E40" s="17">
        <f t="shared" si="1"/>
        <v>-36396.020591258472</v>
      </c>
      <c r="F40" s="30" t="str">
        <f t="shared" si="3"/>
        <v>Lifetime Savings</v>
      </c>
    </row>
    <row r="41" spans="1:6">
      <c r="A41" s="14">
        <v>25</v>
      </c>
      <c r="B41" s="15">
        <f t="shared" si="0"/>
        <v>-38579.915223083641</v>
      </c>
      <c r="C41" s="38">
        <f t="shared" si="2"/>
        <v>0.17692809744227478</v>
      </c>
      <c r="D41" s="16">
        <f>C41*E13</f>
        <v>2183.717703727727</v>
      </c>
      <c r="E41" s="17">
        <f t="shared" si="1"/>
        <v>-38579.915223083641</v>
      </c>
      <c r="F41" s="30" t="str">
        <f t="shared" si="3"/>
        <v>Lifetime Savings</v>
      </c>
    </row>
    <row r="42" spans="1:6">
      <c r="A42" s="5"/>
      <c r="B42" s="5"/>
      <c r="D42" s="32" t="s">
        <v>13</v>
      </c>
      <c r="E42" s="31">
        <f>SUM(D17:D41)-F8</f>
        <v>38576.391890114079</v>
      </c>
      <c r="F42" s="19"/>
    </row>
    <row r="43" spans="1:6" ht="15" customHeight="1">
      <c r="A43" s="18"/>
      <c r="B43" s="18"/>
      <c r="C43" s="18"/>
      <c r="D43" s="18"/>
      <c r="E43" s="18"/>
      <c r="F43" s="18"/>
    </row>
    <row r="44" spans="1:6">
      <c r="A44" s="10"/>
      <c r="B44" s="10"/>
      <c r="C44" s="10"/>
      <c r="D44" s="10"/>
      <c r="E44" s="10"/>
      <c r="F44" s="10"/>
    </row>
  </sheetData>
  <mergeCells count="7">
    <mergeCell ref="C10:F10"/>
    <mergeCell ref="A3:C3"/>
    <mergeCell ref="E3:F3"/>
    <mergeCell ref="A4:B4"/>
    <mergeCell ref="A5:B5"/>
    <mergeCell ref="A6:B6"/>
    <mergeCell ref="A8:E8"/>
  </mergeCells>
  <conditionalFormatting sqref="E17:E41">
    <cfRule type="cellIs" dxfId="60" priority="6" operator="lessThan">
      <formula>0</formula>
    </cfRule>
    <cfRule type="cellIs" dxfId="59" priority="7" operator="greaterThan">
      <formula>0</formula>
    </cfRule>
  </conditionalFormatting>
  <conditionalFormatting sqref="B16:B41">
    <cfRule type="cellIs" dxfId="58" priority="4" operator="lessThan">
      <formula>0</formula>
    </cfRule>
    <cfRule type="cellIs" dxfId="57" priority="5" operator="greaterThan">
      <formula>0</formula>
    </cfRule>
  </conditionalFormatting>
  <conditionalFormatting sqref="F17:F41">
    <cfRule type="containsText" dxfId="56" priority="1" operator="containsText" text="Lifetime Savings">
      <formula>NOT(ISERROR(SEARCH("Lifetime Savings",F17)))</formula>
    </cfRule>
    <cfRule type="containsText" dxfId="55" priority="2" operator="containsText" text="Lifetime Savngs">
      <formula>NOT(ISERROR(SEARCH("Lifetime Savngs",F17)))</formula>
    </cfRule>
    <cfRule type="containsText" dxfId="54" priority="3" operator="containsText" text="Payback Period">
      <formula>NOT(ISERROR(SEARCH("Payback Period",F17)))</formula>
    </cfRule>
  </conditionalFormatting>
  <pageMargins left="0.7" right="0.7" top="1.8020833333333333" bottom="0.875" header="0.3" footer="0.3"/>
  <pageSetup paperSize="9" orientation="portrait" verticalDpi="1200" r:id="rId1"/>
  <headerFooter>
    <oddHeader>&amp;C&amp;G</oddHeader>
    <oddFooter>&amp;C&amp;"-,Bold"&amp;K03+000Telephone:&amp;"-,Regular" 0113 271 7588 
&amp;"-,Bold"Email:&amp;"-,Regular" info@wilsonpowersolutions.co.uk 
&amp;"-,Bold"Address:&amp;"-,Regular" Westland Works, Westland Square, Leeds, LS11 5SS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44"/>
  <sheetViews>
    <sheetView view="pageLayout" zoomScaleNormal="100" workbookViewId="0">
      <selection activeCell="E42" sqref="E42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4.81640625" style="4" bestFit="1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9" t="s">
        <v>21</v>
      </c>
      <c r="C1" s="10"/>
      <c r="D1" s="10"/>
      <c r="E1" s="10"/>
      <c r="F1" s="10"/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">
        <v>22</v>
      </c>
      <c r="B3" s="128"/>
      <c r="C3" s="128"/>
      <c r="D3" s="5"/>
      <c r="E3" s="128" t="s">
        <v>19</v>
      </c>
      <c r="F3" s="128"/>
      <c r="G3" s="3"/>
    </row>
    <row r="4" spans="1:7">
      <c r="A4" s="129" t="s">
        <v>0</v>
      </c>
      <c r="B4" s="129"/>
      <c r="C4" s="29">
        <v>21115</v>
      </c>
      <c r="D4" s="6"/>
      <c r="E4" s="8" t="s">
        <v>3</v>
      </c>
      <c r="F4" s="29">
        <v>28355</v>
      </c>
      <c r="G4" s="3"/>
    </row>
    <row r="5" spans="1:7" ht="14.25" customHeight="1">
      <c r="A5" s="129" t="s">
        <v>1</v>
      </c>
      <c r="B5" s="129"/>
      <c r="C5" s="7">
        <v>1450</v>
      </c>
      <c r="D5" s="5"/>
      <c r="E5" s="8" t="s">
        <v>4</v>
      </c>
      <c r="F5" s="7">
        <v>850</v>
      </c>
      <c r="G5" s="3"/>
    </row>
    <row r="6" spans="1:7">
      <c r="A6" s="129" t="s">
        <v>2</v>
      </c>
      <c r="B6" s="129"/>
      <c r="C6" s="7">
        <v>18000</v>
      </c>
      <c r="D6" s="5"/>
      <c r="E6" s="8" t="s">
        <v>2</v>
      </c>
      <c r="F6" s="7">
        <v>15000</v>
      </c>
      <c r="G6" s="3"/>
    </row>
    <row r="7" spans="1:7" ht="7.5" customHeight="1">
      <c r="A7" s="37"/>
      <c r="B7" s="37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34">
        <f>F4-C4</f>
        <v>7240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1">
      <c r="A10" s="20" t="s">
        <v>5</v>
      </c>
      <c r="B10" s="20" t="s">
        <v>6</v>
      </c>
      <c r="C10" s="127" t="s">
        <v>8</v>
      </c>
      <c r="D10" s="127"/>
      <c r="E10" s="127"/>
      <c r="F10" s="127"/>
    </row>
    <row r="11" spans="1:7" ht="30" customHeight="1">
      <c r="A11" s="21"/>
      <c r="B11" s="22"/>
      <c r="C11" s="23" t="s">
        <v>23</v>
      </c>
      <c r="D11" s="23" t="s">
        <v>25</v>
      </c>
      <c r="E11" s="23" t="s">
        <v>26</v>
      </c>
      <c r="F11" s="23" t="s">
        <v>7</v>
      </c>
    </row>
    <row r="12" spans="1:7">
      <c r="A12" s="24"/>
      <c r="B12" s="14"/>
      <c r="C12" s="14"/>
      <c r="D12" s="25">
        <v>70</v>
      </c>
      <c r="E12" s="14"/>
      <c r="F12" s="14" t="s">
        <v>9</v>
      </c>
    </row>
    <row r="13" spans="1:7">
      <c r="A13" s="26">
        <f>C5-F5</f>
        <v>600</v>
      </c>
      <c r="B13" s="14">
        <f>C6-F6</f>
        <v>3000</v>
      </c>
      <c r="C13" s="16">
        <f>A13*24*365/1000</f>
        <v>5256</v>
      </c>
      <c r="D13" s="14">
        <f>(B13*24*365*((D12*D12)/10000/1000))</f>
        <v>12877.199999999999</v>
      </c>
      <c r="E13" s="27">
        <f>D13+C13</f>
        <v>18133.199999999997</v>
      </c>
      <c r="F13" s="28">
        <f>E13*0.000537</f>
        <v>9.7375283999999986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42">
      <c r="A15" s="13" t="s">
        <v>10</v>
      </c>
      <c r="B15" s="13" t="s">
        <v>27</v>
      </c>
      <c r="C15" s="13" t="s">
        <v>28</v>
      </c>
      <c r="D15" s="13" t="s">
        <v>29</v>
      </c>
      <c r="E15" s="13" t="s">
        <v>12</v>
      </c>
      <c r="F15" s="13" t="s">
        <v>11</v>
      </c>
    </row>
    <row r="16" spans="1:7">
      <c r="A16" s="14">
        <v>0</v>
      </c>
      <c r="B16" s="15">
        <f>F8</f>
        <v>7240</v>
      </c>
      <c r="C16" s="38"/>
      <c r="D16" s="14"/>
      <c r="E16" s="14"/>
      <c r="F16" s="14"/>
    </row>
    <row r="17" spans="1:6">
      <c r="A17" s="14">
        <v>1</v>
      </c>
      <c r="B17" s="15">
        <f>E17</f>
        <v>5245.2380000000012</v>
      </c>
      <c r="C17" s="39">
        <v>0.11</v>
      </c>
      <c r="D17" s="16">
        <f>C17*E13</f>
        <v>1994.6519999999996</v>
      </c>
      <c r="E17" s="17">
        <f>B16-C17-D17</f>
        <v>5245.2380000000012</v>
      </c>
      <c r="F17" s="30" t="str">
        <f>IF(E17&gt;0,"Payback Period","Lifetime Savings")</f>
        <v>Payback Period</v>
      </c>
    </row>
    <row r="18" spans="1:6">
      <c r="A18" s="14">
        <v>2</v>
      </c>
      <c r="B18" s="15">
        <f t="shared" ref="B18:B41" si="0">E18</f>
        <v>3210.5807600000021</v>
      </c>
      <c r="C18" s="38">
        <f>C17+(C17*2%)</f>
        <v>0.11219999999999999</v>
      </c>
      <c r="D18" s="16">
        <f>C18*E13</f>
        <v>2034.5450399999995</v>
      </c>
      <c r="E18" s="17">
        <f t="shared" ref="E18:E41" si="1">B17-C18-D18</f>
        <v>3210.5807600000021</v>
      </c>
      <c r="F18" s="30" t="str">
        <f>IF(E18&gt;0,"Payback Period","Lifetime Savings")</f>
        <v>Payback Period</v>
      </c>
    </row>
    <row r="19" spans="1:6">
      <c r="A19" s="14">
        <v>3</v>
      </c>
      <c r="B19" s="15">
        <f t="shared" si="0"/>
        <v>1135.230375200003</v>
      </c>
      <c r="C19" s="38">
        <f t="shared" ref="C19:C41" si="2">C18+(C18*2%)</f>
        <v>0.11444399999999999</v>
      </c>
      <c r="D19" s="16">
        <f>C19*E13</f>
        <v>2075.2359407999993</v>
      </c>
      <c r="E19" s="17">
        <f t="shared" si="1"/>
        <v>1135.230375200003</v>
      </c>
      <c r="F19" s="30" t="str">
        <f t="shared" ref="F19:F41" si="3">IF(E19&gt;0,"Payback Period","Lifetime Savings")</f>
        <v>Payback Period</v>
      </c>
    </row>
    <row r="20" spans="1:6">
      <c r="A20" s="14">
        <v>4</v>
      </c>
      <c r="B20" s="15">
        <f t="shared" si="0"/>
        <v>-981.62701729599644</v>
      </c>
      <c r="C20" s="38">
        <f t="shared" si="2"/>
        <v>0.11673287999999998</v>
      </c>
      <c r="D20" s="16">
        <f>C20*E13</f>
        <v>2116.7406596159994</v>
      </c>
      <c r="E20" s="17">
        <f t="shared" si="1"/>
        <v>-981.62701729599644</v>
      </c>
      <c r="F20" s="30" t="str">
        <f t="shared" si="3"/>
        <v>Lifetime Savings</v>
      </c>
    </row>
    <row r="21" spans="1:6">
      <c r="A21" s="14">
        <v>5</v>
      </c>
      <c r="B21" s="15">
        <f t="shared" si="0"/>
        <v>-3140.8215576419157</v>
      </c>
      <c r="C21" s="38">
        <f t="shared" si="2"/>
        <v>0.11906753759999998</v>
      </c>
      <c r="D21" s="16">
        <f>C21*E13</f>
        <v>2159.0754728083193</v>
      </c>
      <c r="E21" s="17">
        <f t="shared" si="1"/>
        <v>-3140.8215576419157</v>
      </c>
      <c r="F21" s="30" t="str">
        <f t="shared" si="3"/>
        <v>Lifetime Savings</v>
      </c>
    </row>
    <row r="22" spans="1:6">
      <c r="A22" s="14">
        <v>6</v>
      </c>
      <c r="B22" s="15">
        <f t="shared" si="0"/>
        <v>-5343.1999887947532</v>
      </c>
      <c r="C22" s="38">
        <f t="shared" si="2"/>
        <v>0.12144888835199998</v>
      </c>
      <c r="D22" s="16">
        <f>C22*E13</f>
        <v>2202.2569822644855</v>
      </c>
      <c r="E22" s="17">
        <f t="shared" si="1"/>
        <v>-5343.1999887947532</v>
      </c>
      <c r="F22" s="30" t="str">
        <f t="shared" si="3"/>
        <v>Lifetime Savings</v>
      </c>
    </row>
    <row r="23" spans="1:6">
      <c r="A23" s="14">
        <v>7</v>
      </c>
      <c r="B23" s="15">
        <f t="shared" si="0"/>
        <v>-7589.6259885706477</v>
      </c>
      <c r="C23" s="38">
        <f t="shared" si="2"/>
        <v>0.12387786611903998</v>
      </c>
      <c r="D23" s="16">
        <f>C23*E13</f>
        <v>2246.3021219097755</v>
      </c>
      <c r="E23" s="17">
        <f t="shared" si="1"/>
        <v>-7589.6259885706477</v>
      </c>
      <c r="F23" s="30" t="str">
        <f t="shared" si="3"/>
        <v>Lifetime Savings</v>
      </c>
    </row>
    <row r="24" spans="1:6">
      <c r="A24" s="14">
        <v>8</v>
      </c>
      <c r="B24" s="15">
        <f t="shared" si="0"/>
        <v>-9880.9805083420597</v>
      </c>
      <c r="C24" s="38">
        <f t="shared" si="2"/>
        <v>0.12635542344142078</v>
      </c>
      <c r="D24" s="16">
        <f>C24*E13</f>
        <v>2291.228164347971</v>
      </c>
      <c r="E24" s="17">
        <f t="shared" si="1"/>
        <v>-9880.9805083420597</v>
      </c>
      <c r="F24" s="30" t="str">
        <f t="shared" si="3"/>
        <v>Lifetime Savings</v>
      </c>
    </row>
    <row r="25" spans="1:6">
      <c r="A25" s="14">
        <v>9</v>
      </c>
      <c r="B25" s="15">
        <f t="shared" si="0"/>
        <v>-12218.162118508899</v>
      </c>
      <c r="C25" s="38">
        <f t="shared" si="2"/>
        <v>0.1288825319102492</v>
      </c>
      <c r="D25" s="16">
        <f>C25*E13</f>
        <v>2337.0527276349303</v>
      </c>
      <c r="E25" s="17">
        <f t="shared" si="1"/>
        <v>-12218.162118508899</v>
      </c>
      <c r="F25" s="30" t="str">
        <f t="shared" si="3"/>
        <v>Lifetime Savings</v>
      </c>
    </row>
    <row r="26" spans="1:6">
      <c r="A26" s="14">
        <v>10</v>
      </c>
      <c r="B26" s="15">
        <f t="shared" si="0"/>
        <v>-14602.087360879077</v>
      </c>
      <c r="C26" s="38">
        <f t="shared" si="2"/>
        <v>0.13146018254845418</v>
      </c>
      <c r="D26" s="16">
        <f>C26*E13</f>
        <v>2383.7937821876289</v>
      </c>
      <c r="E26" s="17">
        <f t="shared" si="1"/>
        <v>-14602.087360879077</v>
      </c>
      <c r="F26" s="30" t="str">
        <f t="shared" si="3"/>
        <v>Lifetime Savings</v>
      </c>
    </row>
    <row r="27" spans="1:6">
      <c r="A27" s="14">
        <v>11</v>
      </c>
      <c r="B27" s="15">
        <f t="shared" si="0"/>
        <v>-17033.69110809666</v>
      </c>
      <c r="C27" s="38">
        <f t="shared" si="2"/>
        <v>0.13408938619942326</v>
      </c>
      <c r="D27" s="16">
        <f>C27*E13</f>
        <v>2431.4696578313815</v>
      </c>
      <c r="E27" s="17">
        <f t="shared" si="1"/>
        <v>-17033.69110809666</v>
      </c>
      <c r="F27" s="30" t="str">
        <f t="shared" si="3"/>
        <v>Lifetime Savings</v>
      </c>
    </row>
    <row r="28" spans="1:6">
      <c r="A28" s="14">
        <v>12</v>
      </c>
      <c r="B28" s="15">
        <f t="shared" si="0"/>
        <v>-19513.926930258593</v>
      </c>
      <c r="C28" s="38">
        <f t="shared" si="2"/>
        <v>0.13677117392341173</v>
      </c>
      <c r="D28" s="16">
        <f>C28*E13</f>
        <v>2480.0990509880094</v>
      </c>
      <c r="E28" s="17">
        <f t="shared" si="1"/>
        <v>-19513.926930258593</v>
      </c>
      <c r="F28" s="30" t="str">
        <f t="shared" si="3"/>
        <v>Lifetime Savings</v>
      </c>
    </row>
    <row r="29" spans="1:6">
      <c r="A29" s="14">
        <v>13</v>
      </c>
      <c r="B29" s="15">
        <f t="shared" si="0"/>
        <v>-22043.767468863763</v>
      </c>
      <c r="C29" s="38">
        <f t="shared" si="2"/>
        <v>0.13950659740187996</v>
      </c>
      <c r="D29" s="16">
        <f>C29*E13</f>
        <v>2529.7010320077693</v>
      </c>
      <c r="E29" s="17">
        <f t="shared" si="1"/>
        <v>-22043.767468863763</v>
      </c>
      <c r="F29" s="30" t="str">
        <f t="shared" si="3"/>
        <v>Lifetime Savings</v>
      </c>
    </row>
    <row r="30" spans="1:6">
      <c r="A30" s="14">
        <v>14</v>
      </c>
      <c r="B30" s="15">
        <f t="shared" si="0"/>
        <v>-24624.20481824104</v>
      </c>
      <c r="C30" s="38">
        <f t="shared" si="2"/>
        <v>0.14229672934991755</v>
      </c>
      <c r="D30" s="16">
        <f>C30*E13</f>
        <v>2580.2950526479244</v>
      </c>
      <c r="E30" s="17">
        <f t="shared" si="1"/>
        <v>-24624.20481824104</v>
      </c>
      <c r="F30" s="30" t="str">
        <f t="shared" si="3"/>
        <v>Lifetime Savings</v>
      </c>
    </row>
    <row r="31" spans="1:6">
      <c r="A31" s="14">
        <v>15</v>
      </c>
      <c r="B31" s="15">
        <f t="shared" si="0"/>
        <v>-27256.250914605858</v>
      </c>
      <c r="C31" s="38">
        <f t="shared" si="2"/>
        <v>0.14514266393691591</v>
      </c>
      <c r="D31" s="16">
        <f>C31*E13</f>
        <v>2631.9009537008833</v>
      </c>
      <c r="E31" s="17">
        <f t="shared" si="1"/>
        <v>-27256.250914605858</v>
      </c>
      <c r="F31" s="30" t="str">
        <f t="shared" si="3"/>
        <v>Lifetime Savings</v>
      </c>
    </row>
    <row r="32" spans="1:6">
      <c r="A32" s="14">
        <v>16</v>
      </c>
      <c r="B32" s="15">
        <f t="shared" si="0"/>
        <v>-29940.937932897978</v>
      </c>
      <c r="C32" s="38">
        <f t="shared" si="2"/>
        <v>0.14804551721565423</v>
      </c>
      <c r="D32" s="16">
        <f>C32*E13</f>
        <v>2684.5389727749007</v>
      </c>
      <c r="E32" s="17">
        <f t="shared" si="1"/>
        <v>-29940.937932897978</v>
      </c>
      <c r="F32" s="30" t="str">
        <f t="shared" si="3"/>
        <v>Lifetime Savings</v>
      </c>
    </row>
    <row r="33" spans="1:7">
      <c r="A33" s="14">
        <v>17</v>
      </c>
      <c r="B33" s="15">
        <f t="shared" si="0"/>
        <v>-32679.318691555938</v>
      </c>
      <c r="C33" s="38">
        <f t="shared" si="2"/>
        <v>0.15100642755996732</v>
      </c>
      <c r="D33" s="16">
        <f>C33*E13</f>
        <v>2738.2297522303988</v>
      </c>
      <c r="E33" s="17">
        <f t="shared" si="1"/>
        <v>-32679.318691555938</v>
      </c>
      <c r="F33" s="30" t="str">
        <f t="shared" si="3"/>
        <v>Lifetime Savings</v>
      </c>
    </row>
    <row r="34" spans="1:7">
      <c r="A34" s="14">
        <v>18</v>
      </c>
      <c r="B34" s="15">
        <f t="shared" si="0"/>
        <v>-35472.467065387056</v>
      </c>
      <c r="C34" s="38">
        <f t="shared" si="2"/>
        <v>0.15402655611116667</v>
      </c>
      <c r="D34" s="16">
        <f>C34*E13</f>
        <v>2792.9943472750069</v>
      </c>
      <c r="E34" s="17">
        <f t="shared" si="1"/>
        <v>-35472.467065387056</v>
      </c>
      <c r="F34" s="30" t="str">
        <f t="shared" si="3"/>
        <v>Lifetime Savings</v>
      </c>
    </row>
    <row r="35" spans="1:7">
      <c r="A35" s="14">
        <v>19</v>
      </c>
      <c r="B35" s="15">
        <f t="shared" si="0"/>
        <v>-38321.47840669479</v>
      </c>
      <c r="C35" s="38">
        <f t="shared" si="2"/>
        <v>0.15710708723339001</v>
      </c>
      <c r="D35" s="16">
        <f>C35*E13</f>
        <v>2848.8542342205074</v>
      </c>
      <c r="E35" s="17">
        <f t="shared" si="1"/>
        <v>-38321.47840669479</v>
      </c>
      <c r="F35" s="30" t="str">
        <f t="shared" si="3"/>
        <v>Lifetime Savings</v>
      </c>
    </row>
    <row r="36" spans="1:7">
      <c r="A36" s="14">
        <v>20</v>
      </c>
      <c r="B36" s="15">
        <f t="shared" si="0"/>
        <v>-41227.46997482868</v>
      </c>
      <c r="C36" s="38">
        <f t="shared" si="2"/>
        <v>0.16024922897805779</v>
      </c>
      <c r="D36" s="16">
        <f>C36*E13</f>
        <v>2905.8313189049172</v>
      </c>
      <c r="E36" s="17">
        <f t="shared" si="1"/>
        <v>-41227.46997482868</v>
      </c>
      <c r="F36" s="30" t="str">
        <f t="shared" si="3"/>
        <v>Lifetime Savings</v>
      </c>
    </row>
    <row r="37" spans="1:7">
      <c r="A37" s="14">
        <v>21</v>
      </c>
      <c r="B37" s="15">
        <f t="shared" si="0"/>
        <v>-44191.581374325251</v>
      </c>
      <c r="C37" s="38">
        <f t="shared" si="2"/>
        <v>0.16345421355761894</v>
      </c>
      <c r="D37" s="16">
        <f>C37*E13</f>
        <v>2963.9479452830151</v>
      </c>
      <c r="E37" s="17">
        <f t="shared" si="1"/>
        <v>-44191.581374325251</v>
      </c>
      <c r="F37" s="30" t="str">
        <f t="shared" si="3"/>
        <v>Lifetime Savings</v>
      </c>
    </row>
    <row r="38" spans="1:7">
      <c r="A38" s="14">
        <v>22</v>
      </c>
      <c r="B38" s="15">
        <f t="shared" si="0"/>
        <v>-47214.975001811756</v>
      </c>
      <c r="C38" s="38">
        <f t="shared" si="2"/>
        <v>0.16672329782877132</v>
      </c>
      <c r="D38" s="16">
        <f>C38*E13</f>
        <v>3023.2269041886757</v>
      </c>
      <c r="E38" s="17">
        <f t="shared" si="1"/>
        <v>-47214.975001811756</v>
      </c>
      <c r="F38" s="30" t="str">
        <f t="shared" si="3"/>
        <v>Lifetime Savings</v>
      </c>
    </row>
    <row r="39" spans="1:7">
      <c r="A39" s="14">
        <v>23</v>
      </c>
      <c r="B39" s="15">
        <f t="shared" si="0"/>
        <v>-50298.836501847989</v>
      </c>
      <c r="C39" s="38">
        <f t="shared" si="2"/>
        <v>0.17005776378534676</v>
      </c>
      <c r="D39" s="16">
        <f>C39*E13</f>
        <v>3083.6914422724494</v>
      </c>
      <c r="E39" s="17">
        <f t="shared" si="1"/>
        <v>-50298.836501847989</v>
      </c>
      <c r="F39" s="30" t="str">
        <f t="shared" si="3"/>
        <v>Lifetime Savings</v>
      </c>
    </row>
    <row r="40" spans="1:7">
      <c r="A40" s="14">
        <v>24</v>
      </c>
      <c r="B40" s="15">
        <f t="shared" si="0"/>
        <v>-53444.375231884944</v>
      </c>
      <c r="C40" s="38">
        <f t="shared" si="2"/>
        <v>0.17345891906105371</v>
      </c>
      <c r="D40" s="16">
        <f>C40*E13</f>
        <v>3145.3652711178984</v>
      </c>
      <c r="E40" s="17">
        <f t="shared" si="1"/>
        <v>-53444.375231884944</v>
      </c>
      <c r="F40" s="30" t="str">
        <f t="shared" si="3"/>
        <v>Lifetime Savings</v>
      </c>
    </row>
    <row r="41" spans="1:7">
      <c r="A41" s="14">
        <v>25</v>
      </c>
      <c r="B41" s="15">
        <f t="shared" si="0"/>
        <v>-56652.824736522642</v>
      </c>
      <c r="C41" s="38">
        <f t="shared" si="2"/>
        <v>0.17692809744227478</v>
      </c>
      <c r="D41" s="16">
        <f>C41*E13</f>
        <v>3208.2725765402565</v>
      </c>
      <c r="E41" s="17">
        <f t="shared" si="1"/>
        <v>-56652.824736522642</v>
      </c>
      <c r="F41" s="30" t="str">
        <f t="shared" si="3"/>
        <v>Lifetime Savings</v>
      </c>
    </row>
    <row r="42" spans="1:7">
      <c r="A42" s="5"/>
      <c r="B42" s="5"/>
      <c r="D42" s="32" t="s">
        <v>13</v>
      </c>
      <c r="E42" s="31">
        <f>SUM(D17:D41)-F8</f>
        <v>56649.301403553094</v>
      </c>
      <c r="F42" s="19"/>
    </row>
    <row r="43" spans="1:7" ht="15" customHeight="1">
      <c r="A43" s="18"/>
      <c r="B43" s="18"/>
      <c r="C43" s="18"/>
      <c r="D43" s="18"/>
      <c r="E43" s="18"/>
      <c r="F43" s="18"/>
    </row>
    <row r="44" spans="1:7" ht="14.5">
      <c r="A44" s="10"/>
      <c r="B44" s="10"/>
      <c r="C44" s="10"/>
      <c r="D44" s="10"/>
      <c r="E44" s="10"/>
      <c r="F44" s="10"/>
      <c r="G44" s="2"/>
    </row>
  </sheetData>
  <mergeCells count="7">
    <mergeCell ref="C10:F10"/>
    <mergeCell ref="A3:C3"/>
    <mergeCell ref="E3:F3"/>
    <mergeCell ref="A4:B4"/>
    <mergeCell ref="A5:B5"/>
    <mergeCell ref="A6:B6"/>
    <mergeCell ref="A8:E8"/>
  </mergeCells>
  <conditionalFormatting sqref="E17:E41">
    <cfRule type="cellIs" dxfId="53" priority="6" operator="lessThan">
      <formula>0</formula>
    </cfRule>
    <cfRule type="cellIs" dxfId="52" priority="7" operator="greaterThan">
      <formula>0</formula>
    </cfRule>
  </conditionalFormatting>
  <conditionalFormatting sqref="B16:B41">
    <cfRule type="cellIs" dxfId="51" priority="4" operator="lessThan">
      <formula>0</formula>
    </cfRule>
    <cfRule type="cellIs" dxfId="50" priority="5" operator="greaterThan">
      <formula>0</formula>
    </cfRule>
  </conditionalFormatting>
  <conditionalFormatting sqref="F17:F41">
    <cfRule type="containsText" dxfId="49" priority="1" operator="containsText" text="Lifetime Savings">
      <formula>NOT(ISERROR(SEARCH("Lifetime Savings",F17)))</formula>
    </cfRule>
    <cfRule type="containsText" dxfId="48" priority="2" operator="containsText" text="Lifetime Savngs">
      <formula>NOT(ISERROR(SEARCH("Lifetime Savngs",F17)))</formula>
    </cfRule>
    <cfRule type="containsText" dxfId="47" priority="3" operator="containsText" text="Payback Period">
      <formula>NOT(ISERROR(SEARCH("Payback Period",F17)))</formula>
    </cfRule>
  </conditionalFormatting>
  <pageMargins left="0.7" right="0.7" top="1.7916666666666667" bottom="0.89583333333333337" header="0.3" footer="0.3"/>
  <pageSetup paperSize="9" orientation="portrait" verticalDpi="1200" r:id="rId1"/>
  <headerFooter>
    <oddHeader>&amp;C&amp;G</oddHeader>
    <oddFooter>&amp;C&amp;"-,Bold"&amp;K03+000Telephone:&amp;"-,Regular" 0113 271 7588 
&amp;"-,Bold"Email:&amp;"-,Regular" info@wilsonpowersolutions.co.uk 
&amp;"-,Bold"Address: &amp;"-,Regular"Westland Works, Westland Square, Leeds, LS11 5SS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44"/>
  <sheetViews>
    <sheetView view="pageLayout" zoomScale="70" zoomScaleNormal="100" zoomScalePageLayoutView="70" workbookViewId="0">
      <selection activeCell="E42" sqref="E42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4.81640625" style="4" bestFit="1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9" t="s">
        <v>31</v>
      </c>
      <c r="C1" s="10"/>
      <c r="D1" s="10"/>
      <c r="E1" s="10"/>
      <c r="F1" s="10"/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">
        <v>22</v>
      </c>
      <c r="B3" s="128"/>
      <c r="C3" s="128"/>
      <c r="D3" s="5"/>
      <c r="E3" s="128" t="s">
        <v>19</v>
      </c>
      <c r="F3" s="128"/>
      <c r="G3" s="3"/>
    </row>
    <row r="4" spans="1:7">
      <c r="A4" s="129" t="s">
        <v>0</v>
      </c>
      <c r="B4" s="129"/>
      <c r="C4" s="29">
        <v>25400</v>
      </c>
      <c r="D4" s="6"/>
      <c r="E4" s="8" t="s">
        <v>3</v>
      </c>
      <c r="F4" s="29">
        <v>32130</v>
      </c>
      <c r="G4" s="3"/>
    </row>
    <row r="5" spans="1:7" ht="14.25" customHeight="1">
      <c r="A5" s="129" t="s">
        <v>1</v>
      </c>
      <c r="B5" s="129"/>
      <c r="C5" s="7">
        <v>1750</v>
      </c>
      <c r="D5" s="5"/>
      <c r="E5" s="8" t="s">
        <v>4</v>
      </c>
      <c r="F5" s="7">
        <v>900</v>
      </c>
      <c r="G5" s="3"/>
    </row>
    <row r="6" spans="1:7">
      <c r="A6" s="129" t="s">
        <v>2</v>
      </c>
      <c r="B6" s="129"/>
      <c r="C6" s="7">
        <v>22000</v>
      </c>
      <c r="D6" s="5"/>
      <c r="E6" s="8" t="s">
        <v>2</v>
      </c>
      <c r="F6" s="7">
        <v>18500</v>
      </c>
      <c r="G6" s="3"/>
    </row>
    <row r="7" spans="1:7" ht="7.5" customHeight="1">
      <c r="A7" s="40"/>
      <c r="B7" s="40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34">
        <f>F4-C4</f>
        <v>6730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1">
      <c r="A10" s="20" t="s">
        <v>5</v>
      </c>
      <c r="B10" s="20" t="s">
        <v>6</v>
      </c>
      <c r="C10" s="127" t="s">
        <v>8</v>
      </c>
      <c r="D10" s="127"/>
      <c r="E10" s="127"/>
      <c r="F10" s="127"/>
    </row>
    <row r="11" spans="1:7" ht="30" customHeight="1">
      <c r="A11" s="21"/>
      <c r="B11" s="22"/>
      <c r="C11" s="23" t="s">
        <v>23</v>
      </c>
      <c r="D11" s="23" t="s">
        <v>25</v>
      </c>
      <c r="E11" s="23" t="s">
        <v>26</v>
      </c>
      <c r="F11" s="23" t="s">
        <v>7</v>
      </c>
    </row>
    <row r="12" spans="1:7">
      <c r="A12" s="24"/>
      <c r="B12" s="14"/>
      <c r="C12" s="14"/>
      <c r="D12" s="25">
        <v>80</v>
      </c>
      <c r="E12" s="14"/>
      <c r="F12" s="14" t="s">
        <v>9</v>
      </c>
    </row>
    <row r="13" spans="1:7">
      <c r="A13" s="26">
        <f>C5-F5</f>
        <v>850</v>
      </c>
      <c r="B13" s="14">
        <f>C6-F6</f>
        <v>3500</v>
      </c>
      <c r="C13" s="16">
        <f>A13*24*365/1000</f>
        <v>7446</v>
      </c>
      <c r="D13" s="14">
        <f>(B13*24*365*((D12*D12)/10000/1000))</f>
        <v>19622.400000000001</v>
      </c>
      <c r="E13" s="27">
        <f>D13+C13</f>
        <v>27068.400000000001</v>
      </c>
      <c r="F13" s="28">
        <f>E13*0.000537</f>
        <v>14.535730800000001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42">
      <c r="A15" s="13" t="s">
        <v>10</v>
      </c>
      <c r="B15" s="13" t="s">
        <v>27</v>
      </c>
      <c r="C15" s="13" t="s">
        <v>28</v>
      </c>
      <c r="D15" s="13" t="s">
        <v>29</v>
      </c>
      <c r="E15" s="13" t="s">
        <v>12</v>
      </c>
      <c r="F15" s="13" t="s">
        <v>11</v>
      </c>
    </row>
    <row r="16" spans="1:7">
      <c r="A16" s="14">
        <v>0</v>
      </c>
      <c r="B16" s="15">
        <f>F8</f>
        <v>6730</v>
      </c>
      <c r="C16" s="38"/>
      <c r="D16" s="14"/>
      <c r="E16" s="14"/>
      <c r="F16" s="14"/>
    </row>
    <row r="17" spans="1:6">
      <c r="A17" s="14">
        <v>1</v>
      </c>
      <c r="B17" s="15">
        <f>E17</f>
        <v>3752.366</v>
      </c>
      <c r="C17" s="39">
        <v>0.11</v>
      </c>
      <c r="D17" s="16">
        <f>C17*E13</f>
        <v>2977.5240000000003</v>
      </c>
      <c r="E17" s="17">
        <f>B16-C17-D17</f>
        <v>3752.366</v>
      </c>
      <c r="F17" s="30" t="str">
        <f>IF(E17&gt;0,"Payback Period","Lifetime Savings")</f>
        <v>Payback Period</v>
      </c>
    </row>
    <row r="18" spans="1:6">
      <c r="A18" s="14">
        <v>2</v>
      </c>
      <c r="B18" s="15">
        <f t="shared" ref="B18:B41" si="0">E18</f>
        <v>715.17931999999973</v>
      </c>
      <c r="C18" s="38">
        <f>C17+(C17*2%)</f>
        <v>0.11219999999999999</v>
      </c>
      <c r="D18" s="16">
        <f>C18*E13</f>
        <v>3037.0744800000002</v>
      </c>
      <c r="E18" s="17">
        <f t="shared" ref="E18:E41" si="1">B17-C18-D18</f>
        <v>715.17931999999973</v>
      </c>
      <c r="F18" s="30" t="str">
        <f>IF(E18&gt;0,"Payback Period","Lifetime Savings")</f>
        <v>Payback Period</v>
      </c>
    </row>
    <row r="19" spans="1:6">
      <c r="A19" s="14">
        <v>3</v>
      </c>
      <c r="B19" s="15">
        <f t="shared" si="0"/>
        <v>-2382.7510935999999</v>
      </c>
      <c r="C19" s="38">
        <f t="shared" ref="C19:C41" si="2">C18+(C18*2%)</f>
        <v>0.11444399999999999</v>
      </c>
      <c r="D19" s="16">
        <f>C19*E13</f>
        <v>3097.8159695999998</v>
      </c>
      <c r="E19" s="17">
        <f t="shared" si="1"/>
        <v>-2382.7510935999999</v>
      </c>
      <c r="F19" s="30" t="str">
        <f t="shared" ref="F19:F41" si="3">IF(E19&gt;0,"Payback Period","Lifetime Savings")</f>
        <v>Lifetime Savings</v>
      </c>
    </row>
    <row r="20" spans="1:6">
      <c r="A20" s="14">
        <v>4</v>
      </c>
      <c r="B20" s="15">
        <f t="shared" si="0"/>
        <v>-5542.6401154719997</v>
      </c>
      <c r="C20" s="38">
        <f t="shared" si="2"/>
        <v>0.11673287999999998</v>
      </c>
      <c r="D20" s="16">
        <f>C20*E13</f>
        <v>3159.7722889919996</v>
      </c>
      <c r="E20" s="17">
        <f t="shared" si="1"/>
        <v>-5542.6401154719997</v>
      </c>
      <c r="F20" s="30" t="str">
        <f t="shared" si="3"/>
        <v>Lifetime Savings</v>
      </c>
    </row>
    <row r="21" spans="1:6">
      <c r="A21" s="14">
        <v>5</v>
      </c>
      <c r="B21" s="15">
        <f t="shared" si="0"/>
        <v>-8765.7269177814396</v>
      </c>
      <c r="C21" s="38">
        <f t="shared" si="2"/>
        <v>0.11906753759999998</v>
      </c>
      <c r="D21" s="16">
        <f>C21*E13</f>
        <v>3222.9677347718398</v>
      </c>
      <c r="E21" s="17">
        <f t="shared" si="1"/>
        <v>-8765.7269177814396</v>
      </c>
      <c r="F21" s="30" t="str">
        <f t="shared" si="3"/>
        <v>Lifetime Savings</v>
      </c>
    </row>
    <row r="22" spans="1:6">
      <c r="A22" s="14">
        <v>6</v>
      </c>
      <c r="B22" s="15">
        <f t="shared" si="0"/>
        <v>-12053.275456137068</v>
      </c>
      <c r="C22" s="38">
        <f t="shared" si="2"/>
        <v>0.12144888835199998</v>
      </c>
      <c r="D22" s="16">
        <f>C22*E13</f>
        <v>3287.4270894672763</v>
      </c>
      <c r="E22" s="17">
        <f t="shared" si="1"/>
        <v>-12053.275456137068</v>
      </c>
      <c r="F22" s="30" t="str">
        <f t="shared" si="3"/>
        <v>Lifetime Savings</v>
      </c>
    </row>
    <row r="23" spans="1:6">
      <c r="A23" s="14">
        <v>7</v>
      </c>
      <c r="B23" s="15">
        <f t="shared" si="0"/>
        <v>-15406.574965259808</v>
      </c>
      <c r="C23" s="38">
        <f t="shared" si="2"/>
        <v>0.12387786611903998</v>
      </c>
      <c r="D23" s="16">
        <f>C23*E13</f>
        <v>3353.1756312566217</v>
      </c>
      <c r="E23" s="17">
        <f t="shared" si="1"/>
        <v>-15406.574965259808</v>
      </c>
      <c r="F23" s="30" t="str">
        <f t="shared" si="3"/>
        <v>Lifetime Savings</v>
      </c>
    </row>
    <row r="24" spans="1:6">
      <c r="A24" s="14">
        <v>8</v>
      </c>
      <c r="B24" s="15">
        <f t="shared" si="0"/>
        <v>-18826.940464565003</v>
      </c>
      <c r="C24" s="38">
        <f t="shared" si="2"/>
        <v>0.12635542344142078</v>
      </c>
      <c r="D24" s="16">
        <f>C24*E13</f>
        <v>3420.2391438817544</v>
      </c>
      <c r="E24" s="17">
        <f t="shared" si="1"/>
        <v>-18826.940464565003</v>
      </c>
      <c r="F24" s="30" t="str">
        <f t="shared" si="3"/>
        <v>Lifetime Savings</v>
      </c>
    </row>
    <row r="25" spans="1:6">
      <c r="A25" s="14">
        <v>9</v>
      </c>
      <c r="B25" s="15">
        <f t="shared" si="0"/>
        <v>-22315.713273856301</v>
      </c>
      <c r="C25" s="38">
        <f t="shared" si="2"/>
        <v>0.1288825319102492</v>
      </c>
      <c r="D25" s="16">
        <f>C25*E13</f>
        <v>3488.6439267593896</v>
      </c>
      <c r="E25" s="17">
        <f t="shared" si="1"/>
        <v>-22315.713273856301</v>
      </c>
      <c r="F25" s="30" t="str">
        <f t="shared" si="3"/>
        <v>Lifetime Savings</v>
      </c>
    </row>
    <row r="26" spans="1:6">
      <c r="A26" s="14">
        <v>10</v>
      </c>
      <c r="B26" s="15">
        <f t="shared" si="0"/>
        <v>-25874.261539333427</v>
      </c>
      <c r="C26" s="38">
        <f t="shared" si="2"/>
        <v>0.13146018254845418</v>
      </c>
      <c r="D26" s="16">
        <f>C26*E13</f>
        <v>3558.4168052945774</v>
      </c>
      <c r="E26" s="17">
        <f t="shared" si="1"/>
        <v>-25874.261539333427</v>
      </c>
      <c r="F26" s="30" t="str">
        <f t="shared" si="3"/>
        <v>Lifetime Savings</v>
      </c>
    </row>
    <row r="27" spans="1:6">
      <c r="A27" s="14">
        <v>11</v>
      </c>
      <c r="B27" s="15">
        <f t="shared" si="0"/>
        <v>-29503.980770120095</v>
      </c>
      <c r="C27" s="38">
        <f t="shared" si="2"/>
        <v>0.13408938619942326</v>
      </c>
      <c r="D27" s="16">
        <f>C27*E13</f>
        <v>3629.5851414004687</v>
      </c>
      <c r="E27" s="17">
        <f t="shared" si="1"/>
        <v>-29503.980770120095</v>
      </c>
      <c r="F27" s="30" t="str">
        <f t="shared" si="3"/>
        <v>Lifetime Savings</v>
      </c>
    </row>
    <row r="28" spans="1:6">
      <c r="A28" s="14">
        <v>12</v>
      </c>
      <c r="B28" s="15">
        <f t="shared" si="0"/>
        <v>-33206.294385522495</v>
      </c>
      <c r="C28" s="38">
        <f t="shared" si="2"/>
        <v>0.13677117392341173</v>
      </c>
      <c r="D28" s="16">
        <f>C28*E13</f>
        <v>3702.1768442284783</v>
      </c>
      <c r="E28" s="17">
        <f t="shared" si="1"/>
        <v>-33206.294385522495</v>
      </c>
      <c r="F28" s="30" t="str">
        <f t="shared" si="3"/>
        <v>Lifetime Savings</v>
      </c>
    </row>
    <row r="29" spans="1:6">
      <c r="A29" s="14">
        <v>13</v>
      </c>
      <c r="B29" s="15">
        <f t="shared" si="0"/>
        <v>-36982.65427323294</v>
      </c>
      <c r="C29" s="38">
        <f t="shared" si="2"/>
        <v>0.13950659740187996</v>
      </c>
      <c r="D29" s="16">
        <f>C29*E13</f>
        <v>3776.2203811130476</v>
      </c>
      <c r="E29" s="17">
        <f t="shared" si="1"/>
        <v>-36982.65427323294</v>
      </c>
      <c r="F29" s="30" t="str">
        <f t="shared" si="3"/>
        <v>Lifetime Savings</v>
      </c>
    </row>
    <row r="30" spans="1:6">
      <c r="A30" s="14">
        <v>14</v>
      </c>
      <c r="B30" s="15">
        <f t="shared" si="0"/>
        <v>-40834.541358697592</v>
      </c>
      <c r="C30" s="38">
        <f t="shared" si="2"/>
        <v>0.14229672934991755</v>
      </c>
      <c r="D30" s="16">
        <f>C30*E13</f>
        <v>3851.7447887353082</v>
      </c>
      <c r="E30" s="17">
        <f t="shared" si="1"/>
        <v>-40834.541358697592</v>
      </c>
      <c r="F30" s="30" t="str">
        <f t="shared" si="3"/>
        <v>Lifetime Savings</v>
      </c>
    </row>
    <row r="31" spans="1:6">
      <c r="A31" s="14">
        <v>15</v>
      </c>
      <c r="B31" s="15">
        <f t="shared" si="0"/>
        <v>-44763.466185871548</v>
      </c>
      <c r="C31" s="38">
        <f t="shared" si="2"/>
        <v>0.14514266393691591</v>
      </c>
      <c r="D31" s="16">
        <f>C31*E13</f>
        <v>3928.7796845100147</v>
      </c>
      <c r="E31" s="17">
        <f t="shared" si="1"/>
        <v>-44763.466185871548</v>
      </c>
      <c r="F31" s="30" t="str">
        <f t="shared" si="3"/>
        <v>Lifetime Savings</v>
      </c>
    </row>
    <row r="32" spans="1:6">
      <c r="A32" s="14">
        <v>16</v>
      </c>
      <c r="B32" s="15">
        <f t="shared" si="0"/>
        <v>-48770.969509588977</v>
      </c>
      <c r="C32" s="38">
        <f t="shared" si="2"/>
        <v>0.14804551721565423</v>
      </c>
      <c r="D32" s="16">
        <f>C32*E13</f>
        <v>4007.3552782002153</v>
      </c>
      <c r="E32" s="17">
        <f t="shared" si="1"/>
        <v>-48770.969509588977</v>
      </c>
      <c r="F32" s="30" t="str">
        <f t="shared" si="3"/>
        <v>Lifetime Savings</v>
      </c>
    </row>
    <row r="33" spans="1:7">
      <c r="A33" s="14">
        <v>17</v>
      </c>
      <c r="B33" s="15">
        <f t="shared" si="0"/>
        <v>-52858.622899780756</v>
      </c>
      <c r="C33" s="38">
        <f t="shared" si="2"/>
        <v>0.15100642755996732</v>
      </c>
      <c r="D33" s="16">
        <f>C33*E13</f>
        <v>4087.5023837642198</v>
      </c>
      <c r="E33" s="17">
        <f t="shared" si="1"/>
        <v>-52858.622899780756</v>
      </c>
      <c r="F33" s="30" t="str">
        <f t="shared" si="3"/>
        <v>Lifetime Savings</v>
      </c>
    </row>
    <row r="34" spans="1:7">
      <c r="A34" s="14">
        <v>18</v>
      </c>
      <c r="B34" s="15">
        <f t="shared" si="0"/>
        <v>-57028.029357776373</v>
      </c>
      <c r="C34" s="38">
        <f t="shared" si="2"/>
        <v>0.15402655611116667</v>
      </c>
      <c r="D34" s="16">
        <f>C34*E13</f>
        <v>4169.2524314395041</v>
      </c>
      <c r="E34" s="17">
        <f t="shared" si="1"/>
        <v>-57028.029357776373</v>
      </c>
      <c r="F34" s="30" t="str">
        <f t="shared" si="3"/>
        <v>Lifetime Savings</v>
      </c>
    </row>
    <row r="35" spans="1:7">
      <c r="A35" s="14">
        <v>19</v>
      </c>
      <c r="B35" s="15">
        <f t="shared" si="0"/>
        <v>-61280.823944931901</v>
      </c>
      <c r="C35" s="38">
        <f t="shared" si="2"/>
        <v>0.15710708723339001</v>
      </c>
      <c r="D35" s="16">
        <f>C35*E13</f>
        <v>4252.6374800682943</v>
      </c>
      <c r="E35" s="17">
        <f t="shared" si="1"/>
        <v>-61280.823944931901</v>
      </c>
      <c r="F35" s="30" t="str">
        <f t="shared" si="3"/>
        <v>Lifetime Savings</v>
      </c>
    </row>
    <row r="36" spans="1:7">
      <c r="A36" s="14">
        <v>20</v>
      </c>
      <c r="B36" s="15">
        <f t="shared" si="0"/>
        <v>-65618.67442383054</v>
      </c>
      <c r="C36" s="38">
        <f t="shared" si="2"/>
        <v>0.16024922897805779</v>
      </c>
      <c r="D36" s="16">
        <f>C36*E13</f>
        <v>4337.6902296696599</v>
      </c>
      <c r="E36" s="17">
        <f t="shared" si="1"/>
        <v>-65618.67442383054</v>
      </c>
      <c r="F36" s="30" t="str">
        <f t="shared" si="3"/>
        <v>Lifetime Savings</v>
      </c>
    </row>
    <row r="37" spans="1:7">
      <c r="A37" s="14">
        <v>21</v>
      </c>
      <c r="B37" s="15">
        <f t="shared" si="0"/>
        <v>-70043.281912307153</v>
      </c>
      <c r="C37" s="38">
        <f t="shared" si="2"/>
        <v>0.16345421355761894</v>
      </c>
      <c r="D37" s="16">
        <f>C37*E13</f>
        <v>4424.4440342630523</v>
      </c>
      <c r="E37" s="17">
        <f t="shared" si="1"/>
        <v>-70043.281912307153</v>
      </c>
      <c r="F37" s="30" t="str">
        <f t="shared" si="3"/>
        <v>Lifetime Savings</v>
      </c>
    </row>
    <row r="38" spans="1:7">
      <c r="A38" s="14">
        <v>22</v>
      </c>
      <c r="B38" s="15">
        <f t="shared" si="0"/>
        <v>-74556.381550553284</v>
      </c>
      <c r="C38" s="38">
        <f t="shared" si="2"/>
        <v>0.16672329782877132</v>
      </c>
      <c r="D38" s="16">
        <f>C38*E13</f>
        <v>4512.9329149483137</v>
      </c>
      <c r="E38" s="17">
        <f t="shared" si="1"/>
        <v>-74556.381550553284</v>
      </c>
      <c r="F38" s="30" t="str">
        <f t="shared" si="3"/>
        <v>Lifetime Savings</v>
      </c>
    </row>
    <row r="39" spans="1:7">
      <c r="A39" s="14">
        <v>23</v>
      </c>
      <c r="B39" s="15">
        <f t="shared" si="0"/>
        <v>-79159.74318156435</v>
      </c>
      <c r="C39" s="38">
        <f t="shared" si="2"/>
        <v>0.17005776378534676</v>
      </c>
      <c r="D39" s="16">
        <f>C39*E13</f>
        <v>4603.1915732472808</v>
      </c>
      <c r="E39" s="17">
        <f t="shared" si="1"/>
        <v>-79159.74318156435</v>
      </c>
      <c r="F39" s="30" t="str">
        <f t="shared" si="3"/>
        <v>Lifetime Savings</v>
      </c>
    </row>
    <row r="40" spans="1:7">
      <c r="A40" s="14">
        <v>24</v>
      </c>
      <c r="B40" s="15">
        <f t="shared" si="0"/>
        <v>-83855.172045195635</v>
      </c>
      <c r="C40" s="38">
        <f t="shared" si="2"/>
        <v>0.17345891906105371</v>
      </c>
      <c r="D40" s="16">
        <f>C40*E13</f>
        <v>4695.2554047122267</v>
      </c>
      <c r="E40" s="17">
        <f t="shared" si="1"/>
        <v>-83855.172045195635</v>
      </c>
      <c r="F40" s="30" t="str">
        <f t="shared" si="3"/>
        <v>Lifetime Savings</v>
      </c>
    </row>
    <row r="41" spans="1:7">
      <c r="A41" s="14">
        <v>25</v>
      </c>
      <c r="B41" s="15">
        <f t="shared" si="0"/>
        <v>-88644.509486099545</v>
      </c>
      <c r="C41" s="38">
        <f t="shared" si="2"/>
        <v>0.17692809744227478</v>
      </c>
      <c r="D41" s="16">
        <f>C41*E13</f>
        <v>4789.1605128064712</v>
      </c>
      <c r="E41" s="17">
        <f t="shared" si="1"/>
        <v>-88644.509486099545</v>
      </c>
      <c r="F41" s="30" t="str">
        <f t="shared" si="3"/>
        <v>Lifetime Savings</v>
      </c>
    </row>
    <row r="42" spans="1:7">
      <c r="A42" s="5"/>
      <c r="B42" s="5"/>
      <c r="D42" s="32" t="s">
        <v>13</v>
      </c>
      <c r="E42" s="31">
        <f>SUM(D17:D41)-F8</f>
        <v>88640.986153130027</v>
      </c>
      <c r="F42" s="19"/>
    </row>
    <row r="43" spans="1:7" ht="15" customHeight="1">
      <c r="A43" s="18"/>
      <c r="B43" s="18"/>
      <c r="C43" s="18"/>
      <c r="D43" s="18"/>
      <c r="E43" s="18"/>
      <c r="F43" s="18"/>
    </row>
    <row r="44" spans="1:7" ht="14.5">
      <c r="A44" s="10"/>
      <c r="B44" s="10"/>
      <c r="C44" s="10"/>
      <c r="D44" s="10"/>
      <c r="E44" s="10"/>
      <c r="F44" s="10"/>
      <c r="G44" s="2"/>
    </row>
  </sheetData>
  <mergeCells count="7">
    <mergeCell ref="C10:F10"/>
    <mergeCell ref="A3:C3"/>
    <mergeCell ref="E3:F3"/>
    <mergeCell ref="A4:B4"/>
    <mergeCell ref="A5:B5"/>
    <mergeCell ref="A6:B6"/>
    <mergeCell ref="A8:E8"/>
  </mergeCells>
  <conditionalFormatting sqref="E17:E41">
    <cfRule type="cellIs" dxfId="46" priority="6" operator="lessThan">
      <formula>0</formula>
    </cfRule>
    <cfRule type="cellIs" dxfId="45" priority="7" operator="greaterThan">
      <formula>0</formula>
    </cfRule>
  </conditionalFormatting>
  <conditionalFormatting sqref="B16:B41">
    <cfRule type="cellIs" dxfId="44" priority="4" operator="lessThan">
      <formula>0</formula>
    </cfRule>
    <cfRule type="cellIs" dxfId="43" priority="5" operator="greaterThan">
      <formula>0</formula>
    </cfRule>
  </conditionalFormatting>
  <conditionalFormatting sqref="F17:F41">
    <cfRule type="containsText" dxfId="42" priority="1" operator="containsText" text="Lifetime Savings">
      <formula>NOT(ISERROR(SEARCH("Lifetime Savings",F17)))</formula>
    </cfRule>
    <cfRule type="containsText" dxfId="41" priority="2" operator="containsText" text="Lifetime Savngs">
      <formula>NOT(ISERROR(SEARCH("Lifetime Savngs",F17)))</formula>
    </cfRule>
    <cfRule type="containsText" dxfId="40" priority="3" operator="containsText" text="Payback Period">
      <formula>NOT(ISERROR(SEARCH("Payback Period",F17)))</formula>
    </cfRule>
  </conditionalFormatting>
  <pageMargins left="0.7" right="0.7" top="1.7916666666666667" bottom="0.89583333333333337" header="0.3" footer="0.3"/>
  <pageSetup paperSize="9" orientation="portrait" verticalDpi="1200" r:id="rId1"/>
  <headerFooter>
    <oddHeader>&amp;C&amp;G</oddHeader>
    <oddFooter>&amp;C&amp;"-,Bold"&amp;K03+000Telephone:&amp;"-,Regular" 0113 271 7588 
&amp;"-,Bold"Email:&amp;"-,Regular" info@wilsonpowersolutions.co.uk 
&amp;"-,Bold"Address: &amp;"-,Regular"Westland Works, Westland Square, Leeds, LS11 5SS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G47"/>
  <sheetViews>
    <sheetView view="pageLayout" topLeftCell="A13" zoomScaleNormal="100" workbookViewId="0">
      <selection activeCell="C13" sqref="C13"/>
    </sheetView>
  </sheetViews>
  <sheetFormatPr defaultColWidth="9.1796875" defaultRowHeight="14"/>
  <cols>
    <col min="1" max="1" width="10" style="4" customWidth="1"/>
    <col min="2" max="2" width="11.26953125" style="4" bestFit="1" customWidth="1"/>
    <col min="3" max="3" width="15.453125" style="4" customWidth="1"/>
    <col min="4" max="4" width="15" style="4" bestFit="1" customWidth="1"/>
    <col min="5" max="5" width="21.1796875" style="4" bestFit="1" customWidth="1"/>
    <col min="6" max="6" width="13.7265625" style="4" bestFit="1" customWidth="1"/>
    <col min="7" max="7" width="12.26953125" style="1" customWidth="1"/>
    <col min="8" max="16384" width="9.1796875" style="1"/>
  </cols>
  <sheetData>
    <row r="1" spans="1:7" ht="15.5">
      <c r="A1" s="9" t="s">
        <v>14</v>
      </c>
      <c r="B1" s="69">
        <v>1600</v>
      </c>
      <c r="C1" s="10"/>
      <c r="D1" s="10"/>
      <c r="E1" s="9" t="s">
        <v>51</v>
      </c>
      <c r="F1" s="69" t="s">
        <v>46</v>
      </c>
    </row>
    <row r="2" spans="1:7" ht="7.5" customHeight="1">
      <c r="A2" s="9"/>
      <c r="B2" s="9"/>
      <c r="C2" s="10"/>
      <c r="D2" s="10"/>
      <c r="E2" s="10"/>
      <c r="F2" s="10"/>
    </row>
    <row r="3" spans="1:7">
      <c r="A3" s="128" t="str">
        <f>VLOOKUP(F1,Data!C18:E23,2,FALSE)</f>
        <v>Standard CRGO Transformer</v>
      </c>
      <c r="B3" s="128"/>
      <c r="C3" s="128"/>
      <c r="D3" s="5"/>
      <c r="E3" s="128" t="s">
        <v>19</v>
      </c>
      <c r="F3" s="128"/>
      <c r="G3" s="3"/>
    </row>
    <row r="4" spans="1:7">
      <c r="A4" s="129" t="s">
        <v>0</v>
      </c>
      <c r="B4" s="129"/>
      <c r="C4" s="58">
        <v>0</v>
      </c>
      <c r="D4" s="6"/>
      <c r="E4" s="8" t="s">
        <v>3</v>
      </c>
      <c r="F4" s="58">
        <f>VLOOKUP(B1,Costing,3,FALSE)</f>
        <v>23155</v>
      </c>
      <c r="G4" s="3"/>
    </row>
    <row r="5" spans="1:7" ht="14.25" customHeight="1">
      <c r="A5" s="129" t="s">
        <v>1</v>
      </c>
      <c r="B5" s="129"/>
      <c r="C5" s="59">
        <f>IF(F1=Data!C19,VLOOKUP(B1,Losses_Chart,3,FALSE),IF(F1=Data!C20,VLOOKUP(B1,Losses_Chart,11,FALSE),IF(F1=Data!C21,VLOOKUP(B1,Losses_Chart,9,FALSE),IF(F1=Data!C22,VLOOKUP(B1,Losses_Chart,7,FALSE),IF(F1=Data!C18,VLOOKUP(B1,Losses_Chart,13,FALSE),"NOT FOUND")))))</f>
        <v>1800</v>
      </c>
      <c r="D5" s="5"/>
      <c r="E5" s="8" t="s">
        <v>4</v>
      </c>
      <c r="F5" s="59">
        <f>VLOOKUP(B1,Losses_Chart,5,FALSE)</f>
        <v>630</v>
      </c>
      <c r="G5" s="3"/>
    </row>
    <row r="6" spans="1:7">
      <c r="A6" s="129" t="s">
        <v>2</v>
      </c>
      <c r="B6" s="129"/>
      <c r="C6" s="59">
        <f>IF(F1=Data!C19,VLOOKUP(B1,Losses_Chart,2,FALSE),IF(F1=Data!C20,VLOOKUP(B1,Losses_Chart,10,FALSE),IF(F1=Data!C21,VLOOKUP(B1,Losses_Chart,8,FALSE),IF(F1=Data!C22,VLOOKUP(B1,Losses_Chart,6,FALSE),IF(F1=Data!C18,VLOOKUP(B1,Losses_Chart,12,FALSE),"NOT FOUND")))))</f>
        <v>21700</v>
      </c>
      <c r="D6" s="5"/>
      <c r="E6" s="8" t="s">
        <v>2</v>
      </c>
      <c r="F6" s="59">
        <f>VLOOKUP(B1,Losses_Chart,4,FALSE)</f>
        <v>12000</v>
      </c>
      <c r="G6" s="3"/>
    </row>
    <row r="7" spans="1:7" ht="7.5" customHeight="1">
      <c r="A7" s="41"/>
      <c r="B7" s="41"/>
      <c r="C7" s="7"/>
      <c r="D7" s="5"/>
      <c r="E7" s="8"/>
      <c r="F7" s="7"/>
      <c r="G7" s="3"/>
    </row>
    <row r="8" spans="1:7">
      <c r="A8" s="130" t="s">
        <v>30</v>
      </c>
      <c r="B8" s="130"/>
      <c r="C8" s="130"/>
      <c r="D8" s="130"/>
      <c r="E8" s="130"/>
      <c r="F8" s="57">
        <f>IFERROR((F4-C4),"Price Req'd")</f>
        <v>23155</v>
      </c>
      <c r="G8" s="3"/>
    </row>
    <row r="9" spans="1:7" ht="7.5" customHeight="1">
      <c r="A9" s="11"/>
      <c r="B9" s="11"/>
      <c r="C9" s="11"/>
      <c r="D9" s="11"/>
      <c r="E9" s="12"/>
      <c r="F9" s="5"/>
      <c r="G9" s="3"/>
    </row>
    <row r="10" spans="1:7" ht="22.5" customHeight="1">
      <c r="A10" s="133" t="s">
        <v>41</v>
      </c>
      <c r="B10" s="134"/>
      <c r="C10" s="127" t="s">
        <v>8</v>
      </c>
      <c r="D10" s="127"/>
      <c r="E10" s="127"/>
      <c r="F10" s="127"/>
    </row>
    <row r="11" spans="1:7" ht="22.5" customHeight="1">
      <c r="A11" s="135"/>
      <c r="B11" s="136"/>
      <c r="C11" s="131" t="s">
        <v>23</v>
      </c>
      <c r="D11" s="23" t="s">
        <v>25</v>
      </c>
      <c r="E11" s="131" t="s">
        <v>26</v>
      </c>
      <c r="F11" s="23" t="s">
        <v>7</v>
      </c>
    </row>
    <row r="12" spans="1:7" ht="21">
      <c r="A12" s="56" t="s">
        <v>5</v>
      </c>
      <c r="B12" s="56" t="s">
        <v>6</v>
      </c>
      <c r="C12" s="132"/>
      <c r="D12" s="25">
        <v>70</v>
      </c>
      <c r="E12" s="132"/>
      <c r="F12" s="14" t="s">
        <v>59</v>
      </c>
    </row>
    <row r="13" spans="1:7">
      <c r="A13" s="26">
        <f>C5-F5</f>
        <v>1170</v>
      </c>
      <c r="B13" s="14">
        <f>C6-F6</f>
        <v>9700</v>
      </c>
      <c r="C13" s="16">
        <f>A13*24*365/1000</f>
        <v>10249.200000000001</v>
      </c>
      <c r="D13" s="14">
        <f>(B13*24*365*((D12*D12)/10000/1000))</f>
        <v>41636.28</v>
      </c>
      <c r="E13" s="27">
        <f>D13+C13</f>
        <v>51885.479999999996</v>
      </c>
      <c r="F13" s="28">
        <f>E13*0.000283</f>
        <v>14.683590839999999</v>
      </c>
    </row>
    <row r="14" spans="1:7" ht="7.5" customHeight="1">
      <c r="A14" s="10"/>
      <c r="B14" s="10"/>
      <c r="C14" s="10"/>
      <c r="D14" s="10"/>
      <c r="E14" s="10"/>
      <c r="F14" s="10"/>
    </row>
    <row r="15" spans="1:7" ht="27">
      <c r="A15" s="55" t="s">
        <v>10</v>
      </c>
      <c r="B15" s="55" t="s">
        <v>27</v>
      </c>
      <c r="C15" s="55" t="s">
        <v>28</v>
      </c>
      <c r="D15" s="55" t="s">
        <v>29</v>
      </c>
      <c r="E15" s="55" t="s">
        <v>12</v>
      </c>
      <c r="F15" s="55" t="s">
        <v>11</v>
      </c>
    </row>
    <row r="16" spans="1:7" ht="13.4" customHeight="1">
      <c r="A16" s="14">
        <v>0</v>
      </c>
      <c r="B16" s="15">
        <f>F8</f>
        <v>23155</v>
      </c>
      <c r="C16" s="38"/>
      <c r="D16" s="14"/>
      <c r="E16" s="14"/>
      <c r="F16" s="14"/>
    </row>
    <row r="17" spans="1:6" ht="13.4" customHeight="1">
      <c r="A17" s="14">
        <v>1</v>
      </c>
      <c r="B17" s="15">
        <f>E17</f>
        <v>17447.4872</v>
      </c>
      <c r="C17" s="39">
        <v>0.11</v>
      </c>
      <c r="D17" s="16">
        <f>C17*E13</f>
        <v>5707.4027999999998</v>
      </c>
      <c r="E17" s="61">
        <f>B16-C17-D17</f>
        <v>17447.4872</v>
      </c>
      <c r="F17" s="30" t="str">
        <f>IF(E17&gt;0,"Payback Period","Lifetime Savings")</f>
        <v>Payback Period</v>
      </c>
    </row>
    <row r="18" spans="1:6" s="48" customFormat="1" ht="13.4" customHeight="1">
      <c r="A18" s="14">
        <v>2</v>
      </c>
      <c r="B18" s="15">
        <f t="shared" ref="B18:B46" si="0">E18</f>
        <v>11625.824144000002</v>
      </c>
      <c r="C18" s="38">
        <f>C17+(C17*2%)</f>
        <v>0.11219999999999999</v>
      </c>
      <c r="D18" s="16">
        <f>C18*E13</f>
        <v>5821.5508559999989</v>
      </c>
      <c r="E18" s="61">
        <f t="shared" ref="E18:E46" si="1">B17-C18-D18</f>
        <v>11625.824144000002</v>
      </c>
      <c r="F18" s="30" t="str">
        <f>IF(E18&gt;0,"Payback Period","Lifetime Savings")</f>
        <v>Payback Period</v>
      </c>
    </row>
    <row r="19" spans="1:6" s="48" customFormat="1" ht="13.4" customHeight="1">
      <c r="A19" s="14">
        <v>3</v>
      </c>
      <c r="B19" s="15">
        <f t="shared" si="0"/>
        <v>5687.7278268800019</v>
      </c>
      <c r="C19" s="38">
        <f t="shared" ref="C19:C46" si="2">C18+(C18*2%)</f>
        <v>0.11444399999999999</v>
      </c>
      <c r="D19" s="16">
        <f>C19*E13</f>
        <v>5937.9818731199994</v>
      </c>
      <c r="E19" s="61">
        <f t="shared" si="1"/>
        <v>5687.7278268800019</v>
      </c>
      <c r="F19" s="30" t="str">
        <f t="shared" ref="F19:F46" si="3">IF(E19&gt;0,"Payback Period","Lifetime Savings")</f>
        <v>Payback Period</v>
      </c>
    </row>
    <row r="20" spans="1:6" s="48" customFormat="1" ht="13.4" customHeight="1">
      <c r="A20" s="14">
        <v>4</v>
      </c>
      <c r="B20" s="15">
        <f t="shared" si="0"/>
        <v>-369.13041658239672</v>
      </c>
      <c r="C20" s="38">
        <f t="shared" si="2"/>
        <v>0.11673287999999998</v>
      </c>
      <c r="D20" s="16">
        <f>C20*E13</f>
        <v>6056.7415105823984</v>
      </c>
      <c r="E20" s="61">
        <f t="shared" si="1"/>
        <v>-369.13041658239672</v>
      </c>
      <c r="F20" s="30" t="str">
        <f t="shared" si="3"/>
        <v>Lifetime Savings</v>
      </c>
    </row>
    <row r="21" spans="1:6" s="48" customFormat="1" ht="13.4" customHeight="1">
      <c r="A21" s="14">
        <v>5</v>
      </c>
      <c r="B21" s="15">
        <f t="shared" si="0"/>
        <v>-6547.1258249140437</v>
      </c>
      <c r="C21" s="38">
        <f t="shared" si="2"/>
        <v>0.11906753759999998</v>
      </c>
      <c r="D21" s="16">
        <f>C21*E13</f>
        <v>6177.8763407940469</v>
      </c>
      <c r="E21" s="61">
        <f t="shared" si="1"/>
        <v>-6547.1258249140437</v>
      </c>
      <c r="F21" s="30" t="str">
        <f t="shared" si="3"/>
        <v>Lifetime Savings</v>
      </c>
    </row>
    <row r="22" spans="1:6" s="48" customFormat="1" ht="13.4" customHeight="1">
      <c r="A22" s="14">
        <v>6</v>
      </c>
      <c r="B22" s="15">
        <f t="shared" si="0"/>
        <v>-12848.681141412322</v>
      </c>
      <c r="C22" s="38">
        <f t="shared" si="2"/>
        <v>0.12144888835199998</v>
      </c>
      <c r="D22" s="16">
        <f>C22*E13</f>
        <v>6301.4338676099269</v>
      </c>
      <c r="E22" s="61">
        <f t="shared" si="1"/>
        <v>-12848.681141412322</v>
      </c>
      <c r="F22" s="30" t="str">
        <f t="shared" si="3"/>
        <v>Lifetime Savings</v>
      </c>
    </row>
    <row r="23" spans="1:6" s="48" customFormat="1" ht="13.4" customHeight="1">
      <c r="A23" s="14">
        <v>7</v>
      </c>
      <c r="B23" s="15">
        <f t="shared" si="0"/>
        <v>-19276.267564240567</v>
      </c>
      <c r="C23" s="38">
        <f t="shared" si="2"/>
        <v>0.12387786611903998</v>
      </c>
      <c r="D23" s="16">
        <f>C23*E13</f>
        <v>6427.4625449621253</v>
      </c>
      <c r="E23" s="61">
        <f t="shared" si="1"/>
        <v>-19276.267564240567</v>
      </c>
      <c r="F23" s="30" t="str">
        <f t="shared" si="3"/>
        <v>Lifetime Savings</v>
      </c>
    </row>
    <row r="24" spans="1:6" s="48" customFormat="1" ht="13.4" customHeight="1">
      <c r="A24" s="14">
        <v>8</v>
      </c>
      <c r="B24" s="15">
        <f t="shared" si="0"/>
        <v>-25832.405715525379</v>
      </c>
      <c r="C24" s="38">
        <f t="shared" si="2"/>
        <v>0.12635542344142078</v>
      </c>
      <c r="D24" s="16">
        <f>C24*E13</f>
        <v>6556.0117958613691</v>
      </c>
      <c r="E24" s="61">
        <f t="shared" si="1"/>
        <v>-25832.405715525379</v>
      </c>
      <c r="F24" s="30" t="str">
        <f t="shared" si="3"/>
        <v>Lifetime Savings</v>
      </c>
    </row>
    <row r="25" spans="1:6" s="48" customFormat="1" ht="13.4" customHeight="1">
      <c r="A25" s="14">
        <v>9</v>
      </c>
      <c r="B25" s="15">
        <f t="shared" si="0"/>
        <v>-32519.666629835887</v>
      </c>
      <c r="C25" s="38">
        <f t="shared" si="2"/>
        <v>0.1288825319102492</v>
      </c>
      <c r="D25" s="16">
        <f>C25*E13</f>
        <v>6687.1320317785967</v>
      </c>
      <c r="E25" s="61">
        <f t="shared" si="1"/>
        <v>-32519.666629835887</v>
      </c>
      <c r="F25" s="30" t="str">
        <f t="shared" si="3"/>
        <v>Lifetime Savings</v>
      </c>
    </row>
    <row r="26" spans="1:6" s="48" customFormat="1" ht="13.4" customHeight="1">
      <c r="A26" s="14">
        <v>10</v>
      </c>
      <c r="B26" s="15">
        <f t="shared" si="0"/>
        <v>-39340.672762432601</v>
      </c>
      <c r="C26" s="38">
        <f t="shared" si="2"/>
        <v>0.13146018254845418</v>
      </c>
      <c r="D26" s="16">
        <f>C26*E13</f>
        <v>6820.8746724141674</v>
      </c>
      <c r="E26" s="61">
        <f t="shared" si="1"/>
        <v>-39340.672762432601</v>
      </c>
      <c r="F26" s="30" t="str">
        <f t="shared" si="3"/>
        <v>Lifetime Savings</v>
      </c>
    </row>
    <row r="27" spans="1:6" s="48" customFormat="1" ht="13.4" customHeight="1">
      <c r="A27" s="14">
        <v>11</v>
      </c>
      <c r="B27" s="15">
        <f t="shared" si="0"/>
        <v>-46298.099017681248</v>
      </c>
      <c r="C27" s="38">
        <f t="shared" si="2"/>
        <v>0.13408938619942326</v>
      </c>
      <c r="D27" s="16">
        <f>C27*E13</f>
        <v>6957.2921658624509</v>
      </c>
      <c r="E27" s="61">
        <f t="shared" si="1"/>
        <v>-46298.099017681248</v>
      </c>
      <c r="F27" s="30" t="str">
        <f t="shared" si="3"/>
        <v>Lifetime Savings</v>
      </c>
    </row>
    <row r="28" spans="1:6" s="48" customFormat="1" ht="13.4" customHeight="1">
      <c r="A28" s="14">
        <v>12</v>
      </c>
      <c r="B28" s="15">
        <f t="shared" si="0"/>
        <v>-53394.67379803487</v>
      </c>
      <c r="C28" s="38">
        <f t="shared" si="2"/>
        <v>0.13677117392341173</v>
      </c>
      <c r="D28" s="16">
        <f>C28*E13</f>
        <v>7096.4380091797002</v>
      </c>
      <c r="E28" s="61">
        <f t="shared" si="1"/>
        <v>-53394.67379803487</v>
      </c>
      <c r="F28" s="30" t="str">
        <f t="shared" si="3"/>
        <v>Lifetime Savings</v>
      </c>
    </row>
    <row r="29" spans="1:6" s="48" customFormat="1" ht="13.4" customHeight="1">
      <c r="A29" s="14">
        <v>13</v>
      </c>
      <c r="B29" s="15">
        <f t="shared" si="0"/>
        <v>-60633.180073995565</v>
      </c>
      <c r="C29" s="38">
        <f t="shared" si="2"/>
        <v>0.13950659740187996</v>
      </c>
      <c r="D29" s="16">
        <f>C29*E13</f>
        <v>7238.3667693632942</v>
      </c>
      <c r="E29" s="61">
        <f t="shared" si="1"/>
        <v>-60633.180073995565</v>
      </c>
      <c r="F29" s="30" t="str">
        <f t="shared" si="3"/>
        <v>Lifetime Savings</v>
      </c>
    </row>
    <row r="30" spans="1:6" s="48" customFormat="1" ht="13.4" customHeight="1">
      <c r="A30" s="14">
        <v>14</v>
      </c>
      <c r="B30" s="15">
        <f t="shared" si="0"/>
        <v>-68016.456475475468</v>
      </c>
      <c r="C30" s="38">
        <f t="shared" si="2"/>
        <v>0.14229672934991755</v>
      </c>
      <c r="D30" s="16">
        <f>C30*E13</f>
        <v>7383.1341047505593</v>
      </c>
      <c r="E30" s="61">
        <f t="shared" si="1"/>
        <v>-68016.456475475468</v>
      </c>
      <c r="F30" s="30" t="str">
        <f t="shared" si="3"/>
        <v>Lifetime Savings</v>
      </c>
    </row>
    <row r="31" spans="1:6" s="48" customFormat="1" ht="13.4" customHeight="1">
      <c r="A31" s="14">
        <v>15</v>
      </c>
      <c r="B31" s="15">
        <f t="shared" si="0"/>
        <v>-75547.398404984982</v>
      </c>
      <c r="C31" s="38">
        <f t="shared" si="2"/>
        <v>0.14514266393691591</v>
      </c>
      <c r="D31" s="16">
        <f>C31*E13</f>
        <v>7530.7967868455708</v>
      </c>
      <c r="E31" s="61">
        <f t="shared" si="1"/>
        <v>-75547.398404984982</v>
      </c>
      <c r="F31" s="30" t="str">
        <f t="shared" si="3"/>
        <v>Lifetime Savings</v>
      </c>
    </row>
    <row r="32" spans="1:6" s="48" customFormat="1" ht="13.4" customHeight="1">
      <c r="A32" s="14">
        <v>16</v>
      </c>
      <c r="B32" s="15">
        <f t="shared" si="0"/>
        <v>-83228.959173084673</v>
      </c>
      <c r="C32" s="38">
        <f t="shared" si="2"/>
        <v>0.14804551721565423</v>
      </c>
      <c r="D32" s="16">
        <f>C32*E13</f>
        <v>7681.4127225824832</v>
      </c>
      <c r="E32" s="61">
        <f t="shared" si="1"/>
        <v>-83228.959173084673</v>
      </c>
      <c r="F32" s="30" t="str">
        <f t="shared" si="3"/>
        <v>Lifetime Savings</v>
      </c>
    </row>
    <row r="33" spans="1:7" s="48" customFormat="1" ht="13.4" customHeight="1">
      <c r="A33" s="14">
        <v>17</v>
      </c>
      <c r="B33" s="15">
        <f t="shared" si="0"/>
        <v>-91064.151156546373</v>
      </c>
      <c r="C33" s="38">
        <f t="shared" si="2"/>
        <v>0.15100642755996732</v>
      </c>
      <c r="D33" s="16">
        <f>C33*E13</f>
        <v>7835.040977034133</v>
      </c>
      <c r="E33" s="61">
        <f t="shared" si="1"/>
        <v>-91064.151156546373</v>
      </c>
      <c r="F33" s="30" t="str">
        <f t="shared" si="3"/>
        <v>Lifetime Savings</v>
      </c>
    </row>
    <row r="34" spans="1:7" s="48" customFormat="1" ht="13.4" customHeight="1">
      <c r="A34" s="14">
        <v>18</v>
      </c>
      <c r="B34" s="15">
        <f t="shared" si="0"/>
        <v>-99056.046979677296</v>
      </c>
      <c r="C34" s="38">
        <f t="shared" si="2"/>
        <v>0.15402655611116667</v>
      </c>
      <c r="D34" s="16">
        <f>C34*E13</f>
        <v>7991.7417965748155</v>
      </c>
      <c r="E34" s="61">
        <f t="shared" si="1"/>
        <v>-99056.046979677296</v>
      </c>
      <c r="F34" s="30" t="str">
        <f t="shared" si="3"/>
        <v>Lifetime Savings</v>
      </c>
    </row>
    <row r="35" spans="1:7" s="48" customFormat="1" ht="13.4" customHeight="1">
      <c r="A35" s="14">
        <v>19</v>
      </c>
      <c r="B35" s="15">
        <f t="shared" si="0"/>
        <v>-107207.78071927084</v>
      </c>
      <c r="C35" s="38">
        <f t="shared" si="2"/>
        <v>0.15710708723339001</v>
      </c>
      <c r="D35" s="16">
        <f>C35*E13</f>
        <v>8151.5766325063123</v>
      </c>
      <c r="E35" s="61">
        <f t="shared" si="1"/>
        <v>-107207.78071927084</v>
      </c>
      <c r="F35" s="30" t="str">
        <f t="shared" si="3"/>
        <v>Lifetime Savings</v>
      </c>
    </row>
    <row r="36" spans="1:7" s="48" customFormat="1" ht="13.4" customHeight="1">
      <c r="A36" s="14">
        <v>20</v>
      </c>
      <c r="B36" s="15">
        <f t="shared" si="0"/>
        <v>-115522.54913365626</v>
      </c>
      <c r="C36" s="38">
        <f t="shared" si="2"/>
        <v>0.16024922897805779</v>
      </c>
      <c r="D36" s="16">
        <f>C36*E13</f>
        <v>8314.6081651564382</v>
      </c>
      <c r="E36" s="61">
        <f t="shared" si="1"/>
        <v>-115522.54913365626</v>
      </c>
      <c r="F36" s="30" t="str">
        <f t="shared" si="3"/>
        <v>Lifetime Savings</v>
      </c>
    </row>
    <row r="37" spans="1:7" s="48" customFormat="1" ht="13.4" customHeight="1">
      <c r="A37" s="14">
        <v>21</v>
      </c>
      <c r="B37" s="15">
        <f t="shared" si="0"/>
        <v>-124003.61291632938</v>
      </c>
      <c r="C37" s="38">
        <f t="shared" si="2"/>
        <v>0.16345421355761894</v>
      </c>
      <c r="D37" s="16">
        <f>C37*E13</f>
        <v>8480.9003284595656</v>
      </c>
      <c r="E37" s="61">
        <f t="shared" si="1"/>
        <v>-124003.61291632938</v>
      </c>
      <c r="F37" s="30" t="str">
        <f t="shared" si="3"/>
        <v>Lifetime Savings</v>
      </c>
    </row>
    <row r="38" spans="1:7" s="48" customFormat="1" ht="13.4" customHeight="1">
      <c r="A38" s="14">
        <v>22</v>
      </c>
      <c r="B38" s="15">
        <f t="shared" si="0"/>
        <v>-132654.29797465596</v>
      </c>
      <c r="C38" s="38">
        <f t="shared" si="2"/>
        <v>0.16672329782877132</v>
      </c>
      <c r="D38" s="16">
        <f>C38*E13</f>
        <v>8650.5183350287571</v>
      </c>
      <c r="E38" s="61">
        <f t="shared" si="1"/>
        <v>-132654.29797465596</v>
      </c>
      <c r="F38" s="30" t="str">
        <f t="shared" si="3"/>
        <v>Lifetime Savings</v>
      </c>
    </row>
    <row r="39" spans="1:7" s="48" customFormat="1" ht="13.4" customHeight="1">
      <c r="A39" s="14">
        <v>23</v>
      </c>
      <c r="B39" s="15">
        <f t="shared" si="0"/>
        <v>-141477.99673414908</v>
      </c>
      <c r="C39" s="38">
        <f t="shared" si="2"/>
        <v>0.17005776378534676</v>
      </c>
      <c r="D39" s="16">
        <f>C39*E13</f>
        <v>8823.5287017293322</v>
      </c>
      <c r="E39" s="61">
        <f t="shared" si="1"/>
        <v>-141477.99673414908</v>
      </c>
      <c r="F39" s="30" t="str">
        <f t="shared" si="3"/>
        <v>Lifetime Savings</v>
      </c>
    </row>
    <row r="40" spans="1:7" s="48" customFormat="1" ht="13.4" customHeight="1">
      <c r="A40" s="14">
        <v>24</v>
      </c>
      <c r="B40" s="15">
        <f t="shared" si="0"/>
        <v>-150478.16946883209</v>
      </c>
      <c r="C40" s="38">
        <f t="shared" si="2"/>
        <v>0.17345891906105371</v>
      </c>
      <c r="D40" s="16">
        <f>C40*E13</f>
        <v>8999.9992757639193</v>
      </c>
      <c r="E40" s="61">
        <f t="shared" si="1"/>
        <v>-150478.16946883209</v>
      </c>
      <c r="F40" s="30" t="str">
        <f t="shared" si="3"/>
        <v>Lifetime Savings</v>
      </c>
    </row>
    <row r="41" spans="1:7" s="48" customFormat="1" ht="13.4" customHeight="1">
      <c r="A41" s="14">
        <v>25</v>
      </c>
      <c r="B41" s="15">
        <f t="shared" si="0"/>
        <v>-159658.34565820874</v>
      </c>
      <c r="C41" s="38">
        <f t="shared" si="2"/>
        <v>0.17692809744227478</v>
      </c>
      <c r="D41" s="16">
        <f>C41*$E$13</f>
        <v>9179.9992612791993</v>
      </c>
      <c r="E41" s="61">
        <f t="shared" si="1"/>
        <v>-159658.34565820874</v>
      </c>
      <c r="F41" s="30" t="str">
        <f t="shared" si="3"/>
        <v>Lifetime Savings</v>
      </c>
    </row>
    <row r="42" spans="1:7" ht="13.4" customHeight="1">
      <c r="A42" s="14">
        <v>26</v>
      </c>
      <c r="B42" s="15">
        <f t="shared" si="0"/>
        <v>-169022.12537137291</v>
      </c>
      <c r="C42" s="38">
        <f t="shared" si="2"/>
        <v>0.18046665939112028</v>
      </c>
      <c r="D42" s="16">
        <f t="shared" ref="D42:D46" si="4">C42*$E$13</f>
        <v>9363.5992465047821</v>
      </c>
      <c r="E42" s="61">
        <f t="shared" si="1"/>
        <v>-169022.12537137291</v>
      </c>
      <c r="F42" s="30" t="str">
        <f t="shared" si="3"/>
        <v>Lifetime Savings</v>
      </c>
    </row>
    <row r="43" spans="1:7" ht="13.4" customHeight="1">
      <c r="A43" s="14">
        <v>27</v>
      </c>
      <c r="B43" s="15">
        <f t="shared" si="0"/>
        <v>-178573.18067880036</v>
      </c>
      <c r="C43" s="38">
        <f t="shared" si="2"/>
        <v>0.18407599257894269</v>
      </c>
      <c r="D43" s="16">
        <f t="shared" si="4"/>
        <v>9550.8712314348795</v>
      </c>
      <c r="E43" s="61">
        <f t="shared" si="1"/>
        <v>-178573.18067880036</v>
      </c>
      <c r="F43" s="30" t="str">
        <f t="shared" si="3"/>
        <v>Lifetime Savings</v>
      </c>
    </row>
    <row r="44" spans="1:7" ht="13.4" customHeight="1">
      <c r="A44" s="14">
        <v>28</v>
      </c>
      <c r="B44" s="15">
        <f t="shared" si="0"/>
        <v>-188315.25709237639</v>
      </c>
      <c r="C44" s="38">
        <f t="shared" si="2"/>
        <v>0.18775751243052155</v>
      </c>
      <c r="D44" s="16">
        <f t="shared" si="4"/>
        <v>9741.8886560635765</v>
      </c>
      <c r="E44" s="61">
        <f t="shared" si="1"/>
        <v>-188315.25709237639</v>
      </c>
      <c r="F44" s="30" t="str">
        <f t="shared" si="3"/>
        <v>Lifetime Savings</v>
      </c>
      <c r="G44" s="2"/>
    </row>
    <row r="45" spans="1:7" ht="13.4" customHeight="1">
      <c r="A45" s="14">
        <v>29</v>
      </c>
      <c r="B45" s="15">
        <f t="shared" si="0"/>
        <v>-198252.17503422391</v>
      </c>
      <c r="C45" s="38">
        <f t="shared" si="2"/>
        <v>0.19151266267913197</v>
      </c>
      <c r="D45" s="16">
        <f t="shared" si="4"/>
        <v>9936.7264291848478</v>
      </c>
      <c r="E45" s="61">
        <f t="shared" si="1"/>
        <v>-198252.17503422391</v>
      </c>
      <c r="F45" s="30" t="str">
        <f t="shared" si="3"/>
        <v>Lifetime Savings</v>
      </c>
    </row>
    <row r="46" spans="1:7" ht="13.4" customHeight="1">
      <c r="A46" s="14">
        <v>30</v>
      </c>
      <c r="B46" s="15">
        <f t="shared" si="0"/>
        <v>-208387.83133490838</v>
      </c>
      <c r="C46" s="38">
        <f t="shared" si="2"/>
        <v>0.19534291593271461</v>
      </c>
      <c r="D46" s="49">
        <f t="shared" si="4"/>
        <v>10135.460957768544</v>
      </c>
      <c r="E46" s="62">
        <f t="shared" si="1"/>
        <v>-208387.83133490838</v>
      </c>
      <c r="F46" s="30" t="str">
        <f t="shared" si="3"/>
        <v>Lifetime Savings</v>
      </c>
    </row>
    <row r="47" spans="1:7">
      <c r="D47" s="32" t="s">
        <v>13</v>
      </c>
      <c r="E47" s="60">
        <f>SUM(D17:D46)-F8</f>
        <v>208383.36884619581</v>
      </c>
    </row>
  </sheetData>
  <mergeCells count="10">
    <mergeCell ref="C11:C12"/>
    <mergeCell ref="E11:E12"/>
    <mergeCell ref="A10:B11"/>
    <mergeCell ref="C10:F10"/>
    <mergeCell ref="A3:C3"/>
    <mergeCell ref="E3:F3"/>
    <mergeCell ref="A4:B4"/>
    <mergeCell ref="A5:B5"/>
    <mergeCell ref="A6:B6"/>
    <mergeCell ref="A8:E8"/>
  </mergeCells>
  <conditionalFormatting sqref="E17:E46">
    <cfRule type="cellIs" dxfId="39" priority="9" operator="lessThan">
      <formula>0</formula>
    </cfRule>
    <cfRule type="cellIs" dxfId="38" priority="10" operator="greaterThan">
      <formula>0</formula>
    </cfRule>
  </conditionalFormatting>
  <conditionalFormatting sqref="B16:B46">
    <cfRule type="cellIs" dxfId="37" priority="7" operator="lessThan">
      <formula>0</formula>
    </cfRule>
    <cfRule type="cellIs" dxfId="36" priority="8" operator="greaterThan">
      <formula>0</formula>
    </cfRule>
  </conditionalFormatting>
  <conditionalFormatting sqref="F17:F46">
    <cfRule type="containsText" dxfId="35" priority="4" operator="containsText" text="Lifetime Savings">
      <formula>NOT(ISERROR(SEARCH("Lifetime Savings",F17)))</formula>
    </cfRule>
    <cfRule type="containsText" dxfId="34" priority="5" operator="containsText" text="Lifetime Savngs">
      <formula>NOT(ISERROR(SEARCH("Lifetime Savngs",F17)))</formula>
    </cfRule>
    <cfRule type="containsText" dxfId="33" priority="6" operator="containsText" text="Payback Period">
      <formula>NOT(ISERROR(SEARCH("Payback Period",F17)))</formula>
    </cfRule>
  </conditionalFormatting>
  <conditionalFormatting sqref="A10:B11">
    <cfRule type="expression" dxfId="32" priority="1">
      <formula>$C$5=0</formula>
    </cfRule>
    <cfRule type="cellIs" dxfId="31" priority="3" operator="greaterThan">
      <formula>0</formula>
    </cfRule>
  </conditionalFormatting>
  <conditionalFormatting sqref="C10:F46 D47:E47 A12:B46">
    <cfRule type="expression" dxfId="30" priority="2">
      <formula>$C$5=0</formula>
    </cfRule>
  </conditionalFormatting>
  <pageMargins left="0.7" right="0.7" top="1.7916666666666667" bottom="0.89583333333333337" header="0.3" footer="0.3"/>
  <pageSetup paperSize="9" orientation="portrait" verticalDpi="1200" r:id="rId1"/>
  <headerFooter>
    <oddHeader>&amp;C&amp;G</oddHeader>
    <oddFooter>&amp;C&amp;"-,Bold"&amp;K03+000Telephone:&amp;"-,Regular" 0113 271 7588 
&amp;"-,Bold"Email:&amp;"-,Regular" info@wilsonpowersolutions.co.uk 
&amp;"-,Bold"Address: &amp;"-,Regular"Westland Works, Westland Square, Leeds, LS11 5SS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Data!$C$5:$C$13</xm:f>
          </x14:formula1>
          <xm:sqref>B1</xm:sqref>
        </x14:dataValidation>
        <x14:dataValidation type="list" allowBlank="1" showInputMessage="1" showErrorMessage="1" xr:uid="{00000000-0002-0000-0800-000001000000}">
          <x14:formula1>
            <xm:f>Data!$C$19:$C$22</xm:f>
          </x14:formula1>
          <xm:sqref>F1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315kVA</vt:lpstr>
      <vt:lpstr>500kVA</vt:lpstr>
      <vt:lpstr>800kVA</vt:lpstr>
      <vt:lpstr>1000kVA</vt:lpstr>
      <vt:lpstr>1250kVA</vt:lpstr>
      <vt:lpstr>1500kVA</vt:lpstr>
      <vt:lpstr>2000kVA</vt:lpstr>
      <vt:lpstr>2500kVA</vt:lpstr>
      <vt:lpstr>Replacement TX - e2 Losses Calc</vt:lpstr>
      <vt:lpstr>New Build - Losses Calc e1-e2</vt:lpstr>
      <vt:lpstr>Replacement TX - e3 Losses Calc</vt:lpstr>
      <vt:lpstr>New Build - Losses Calc e1-e3</vt:lpstr>
      <vt:lpstr>Data</vt:lpstr>
      <vt:lpstr>Costing</vt:lpstr>
      <vt:lpstr>Losses_Chart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Dunn</dc:creator>
  <cp:lastModifiedBy>Ayah Alfawaris</cp:lastModifiedBy>
  <cp:lastPrinted>2018-10-22T09:46:45Z</cp:lastPrinted>
  <dcterms:created xsi:type="dcterms:W3CDTF">2017-01-25T09:59:30Z</dcterms:created>
  <dcterms:modified xsi:type="dcterms:W3CDTF">2019-05-16T14:56:17Z</dcterms:modified>
</cp:coreProperties>
</file>